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qNIHTFXC5hF6mLWDmxq4cWHS82VFpqdNv5slzv+hGVuRXhvg3Y899vtRVy1yiUu/fkxRpB1DTvvpEgBPOQh3kA==" workbookSaltValue="kC56R+sgRezSH5gu/S9H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AZ12" i="8"/>
  <c r="AY12" i="8"/>
  <c r="BB11" i="8"/>
  <c r="BE11" i="8" s="1"/>
  <c r="BA11" i="8"/>
  <c r="AZ11" i="8"/>
  <c r="BD11" i="8" s="1"/>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AC11" i="11"/>
  <c r="EQ19" i="8"/>
  <c r="AP12" i="11"/>
  <c r="Y11" i="11"/>
  <c r="AT18" i="17"/>
  <c r="N10" i="11"/>
  <c r="N9" i="11"/>
  <c r="T10" i="21"/>
  <c r="D11" i="2"/>
  <c r="N11" i="11"/>
  <c r="ES19" i="8"/>
  <c r="C18" i="7"/>
  <c r="S19" i="13"/>
  <c r="AG19" i="19"/>
  <c r="CI19" i="8"/>
  <c r="F17" i="16"/>
  <c r="BL17" i="16" s="1"/>
  <c r="EP19" i="8"/>
  <c r="ER19" i="13"/>
  <c r="AL13" i="16"/>
  <c r="S13" i="16"/>
  <c r="H18" i="16"/>
  <c r="P13" i="16"/>
  <c r="AN13" i="20"/>
  <c r="F15" i="17"/>
  <c r="F17" i="17"/>
  <c r="AQ17" i="17" s="1"/>
  <c r="F9" i="2"/>
  <c r="M13" i="2"/>
  <c r="N13" i="2"/>
  <c r="C17" i="6"/>
  <c r="B17" i="6"/>
  <c r="E11" i="6"/>
  <c r="AC10" i="11"/>
  <c r="H13" i="12"/>
  <c r="BF15" i="8"/>
  <c r="AZ18" i="13"/>
  <c r="BG15" i="8"/>
  <c r="AV18" i="17"/>
  <c r="J18" i="17"/>
  <c r="T13" i="16"/>
  <c r="AP13" i="16"/>
  <c r="F11" i="11"/>
  <c r="AQ11" i="11" s="1"/>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F16" i="17"/>
  <c r="BG16" i="8"/>
  <c r="AM19" i="8"/>
  <c r="F15" i="11"/>
  <c r="BD15" i="8"/>
  <c r="H15" i="7" s="1"/>
  <c r="BE15" i="8"/>
  <c r="I15" i="7" s="1"/>
  <c r="S19" i="8"/>
  <c r="AW18" i="21"/>
  <c r="BE12" i="8"/>
  <c r="BG12" i="8"/>
  <c r="K12" i="7" s="1"/>
  <c r="AB19" i="8"/>
  <c r="AJ19" i="8"/>
  <c r="BA13" i="8"/>
  <c r="AL10" i="11"/>
  <c r="AH13" i="16"/>
  <c r="BF9" i="8"/>
  <c r="BE9" i="8"/>
  <c r="Z19" i="8"/>
  <c r="F9" i="11"/>
  <c r="BD9" i="8"/>
  <c r="H9" i="7" s="1"/>
  <c r="BG9" i="8"/>
  <c r="K9" i="7" s="1"/>
  <c r="AO16" i="11"/>
  <c r="B12" i="6"/>
  <c r="C11" i="6"/>
  <c r="I11" i="12" s="1"/>
  <c r="B9" i="6"/>
  <c r="L12" i="14"/>
  <c r="M18" i="2"/>
  <c r="N18" i="2"/>
  <c r="AL11" i="11"/>
  <c r="H12" i="2"/>
  <c r="C10" i="6"/>
  <c r="L11" i="14"/>
  <c r="E18" i="2"/>
  <c r="F18" i="2" s="1"/>
  <c r="AO17" i="11"/>
  <c r="AL15" i="11"/>
  <c r="L16" i="14"/>
  <c r="BE12" i="13"/>
  <c r="BD12" i="8"/>
  <c r="H12" i="7" s="1"/>
  <c r="AO9" i="11"/>
  <c r="H15" i="2"/>
  <c r="E15" i="6"/>
  <c r="K15" i="12" s="1"/>
  <c r="B16" i="6"/>
  <c r="D12" i="12"/>
  <c r="F12" i="11"/>
  <c r="AQ12" i="11" s="1"/>
  <c r="E9" i="6"/>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E12" i="6"/>
  <c r="C12" i="6"/>
  <c r="I12" i="12" s="1"/>
  <c r="AL12" i="11"/>
  <c r="C18" i="2"/>
  <c r="D18" i="2" s="1"/>
  <c r="G18" i="12"/>
  <c r="E16" i="6"/>
  <c r="K16" i="12" s="1"/>
  <c r="C15" i="6"/>
  <c r="B15" i="6"/>
  <c r="G15" i="3"/>
  <c r="I12" i="3"/>
  <c r="E12" i="3"/>
  <c r="E10" i="3"/>
  <c r="AM11" i="11"/>
  <c r="L9" i="14"/>
  <c r="AO11" i="11"/>
  <c r="AL17" i="11"/>
  <c r="F15" i="2"/>
  <c r="AL16" i="11"/>
  <c r="L15" i="14"/>
  <c r="AR13" i="21"/>
  <c r="E13" i="17"/>
  <c r="W13" i="17"/>
  <c r="I9" i="7"/>
  <c r="K15" i="7"/>
  <c r="I18" i="2"/>
  <c r="J18" i="2" s="1"/>
  <c r="G18" i="2"/>
  <c r="B18" i="6" s="1"/>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AM17" i="11"/>
  <c r="P19" i="8"/>
  <c r="AQ18" i="21"/>
  <c r="BJ9" i="11"/>
  <c r="BA19" i="19"/>
  <c r="BG19" i="19" s="1"/>
  <c r="BD13" i="19"/>
  <c r="BF13" i="19"/>
  <c r="AD19" i="8"/>
  <c r="V19" i="8"/>
  <c r="U16" i="21"/>
  <c r="U18" i="21" s="1"/>
  <c r="X17" i="16"/>
  <c r="D13" i="3"/>
  <c r="N19" i="8"/>
  <c r="BH12" i="11"/>
  <c r="AP12" i="21"/>
  <c r="BM10"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0" i="11"/>
  <c r="O17" i="11"/>
  <c r="AW20" i="11"/>
  <c r="AV20" i="21"/>
  <c r="H20" i="17"/>
  <c r="AX20" i="21"/>
  <c r="U17" i="11"/>
  <c r="O10" i="11"/>
  <c r="BR20" i="16"/>
  <c r="AU20" i="17"/>
  <c r="BP20" i="16"/>
  <c r="D19" i="12" l="1"/>
  <c r="F19" i="7"/>
  <c r="I17" i="12"/>
  <c r="K12" i="12"/>
  <c r="G19" i="7"/>
  <c r="K9" i="12"/>
  <c r="H13" i="2"/>
  <c r="AL18" i="11"/>
  <c r="BE13" i="13"/>
  <c r="BG13" i="13"/>
  <c r="V12" i="11"/>
  <c r="V19" i="11"/>
  <c r="S18" i="14"/>
  <c r="U16" i="17"/>
  <c r="U17" i="17"/>
  <c r="U11" i="17"/>
  <c r="AA12" i="16"/>
  <c r="BF9" i="11"/>
  <c r="BM11" i="11"/>
  <c r="S12" i="17"/>
  <c r="AA10" i="21"/>
  <c r="V16" i="20"/>
  <c r="BG11" i="11"/>
  <c r="AO11" i="17"/>
  <c r="BG17" i="11"/>
  <c r="R15" i="14"/>
  <c r="AS16" i="20"/>
  <c r="X18" i="17"/>
  <c r="T18" i="11"/>
  <c r="AP18" i="21"/>
  <c r="AP18" i="20"/>
  <c r="F18" i="11"/>
  <c r="Y13" i="11"/>
  <c r="AO17" i="17"/>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C18" i="6"/>
  <c r="BB19" i="13"/>
  <c r="BF13" i="13"/>
  <c r="AM13" i="11"/>
  <c r="Q12" i="11"/>
  <c r="Q18" i="20"/>
  <c r="Q19" i="20" s="1"/>
  <c r="BF11" i="11"/>
  <c r="BL9" i="11"/>
  <c r="BG10" i="11"/>
  <c r="P17" i="17"/>
  <c r="BK12" i="11"/>
  <c r="BK9" i="11"/>
  <c r="AO12" i="17"/>
  <c r="X9" i="17"/>
  <c r="BM12" i="11"/>
  <c r="V9" i="11"/>
  <c r="BJ15" i="11"/>
  <c r="AP15" i="20"/>
  <c r="R17" i="20"/>
  <c r="AZ9" i="11"/>
  <c r="AZ15" i="11"/>
  <c r="AZ18" i="11" s="1"/>
  <c r="BV17" i="16"/>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P12" i="11"/>
  <c r="BH13" i="11"/>
  <c r="BV18" i="16"/>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<sst xmlns="http://schemas.openxmlformats.org/spreadsheetml/2006/main" count="2074" uniqueCount="909">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</sst>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I8vPTIjHSzaK1HaybSlRnGa2+us03ygcK3GWm2m/e5zsHDihfyXfwLcu8Wz3Jh8BLGNF+KBnuXqGN/CU+Hi+w==" saltValue="OEJzxWxOo2opzH99IIz/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24.777173913043477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145</v>
      </c>
      <c r="D10" s="224">
        <f>IF(ISNUMBER(Datos!I10),Datos!I10," - ")</f>
        <v>145</v>
      </c>
      <c r="E10" s="225">
        <f>IF(ISNUMBER(Datos!J10),Datos!J10," - ")</f>
        <v>46</v>
      </c>
      <c r="F10" s="225">
        <f>IF(ISNUMBER(Datos!K10),Datos!K10," - ")</f>
        <v>31</v>
      </c>
      <c r="G10" s="1033" t="str">
        <f>IF(Datos!E10&lt;&gt;"",Datos!E10,Datos!D10)</f>
        <v>37</v>
      </c>
      <c r="H10" s="226">
        <f>IF(ISNUMBER(Datos!L10),Datos!L10," - ")</f>
        <v>160</v>
      </c>
      <c r="I10" s="1043" t="str">
        <f>IF(ISNUMBER(Datos!AS10/Datos!BM10),Datos!AS10/Datos!BM10," - ")</f>
        <v xml:space="preserve"> - </v>
      </c>
      <c r="J10" s="1044">
        <f>IF(ISNUMBER(Datos!BY10/Datos!CN10),Datos!BY10/Datos!CN10," - ")</f>
        <v>0</v>
      </c>
      <c r="K10" s="229">
        <f t="shared" ref="K10:K12" si="1">IF(ISNUMBER((E10-F10)/C10),(E10-F10)/C10," - ")</f>
        <v>0.10344827586206896</v>
      </c>
      <c r="L10" s="1024">
        <f>IF(ISNUMBER(NºAsuntos!I10/NºAsuntos!G10),(NºAsuntos!I10/NºAsuntos!G10)*11," - ")</f>
        <v>56.774193548387096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10.102040816326531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145</v>
      </c>
      <c r="D13" s="1048">
        <f>SUBTOTAL(9,D9:D12)</f>
        <v>145</v>
      </c>
      <c r="E13" s="1049">
        <f>SUBTOTAL(9,E9:E12)</f>
        <v>46</v>
      </c>
      <c r="F13" s="1050">
        <f>SUBTOTAL(9,F9:F12)</f>
        <v>31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2429</v>
      </c>
      <c r="D15" s="224">
        <f>IF(ISNUMBER(IF(D_I="SI",Datos!I15,Datos!I15+Datos!AC15)),IF(D_I="SI",Datos!I15,Datos!I15+Datos!AC15)," - ")</f>
        <v>2389</v>
      </c>
      <c r="E15" s="225">
        <f>IF(ISNUMBER(IF(D_I="SI",Datos!J15,Datos!J15+Datos!AD15)),IF(D_I="SI",Datos!J15,Datos!J15+Datos!AD15)," - ")</f>
        <v>1882</v>
      </c>
      <c r="F15" s="225">
        <f>IF(ISNUMBER(IF(D_I="SI",Datos!K15,Datos!K15+Datos!AE15)),IF(D_I="SI",Datos!K15,Datos!K15+Datos!AE15)," - ")</f>
        <v>1707</v>
      </c>
      <c r="G15" s="1033" t="str">
        <f>IF(Datos!E15&lt;&gt;"",Datos!E15,Datos!D15)</f>
        <v>03</v>
      </c>
      <c r="H15" s="226">
        <f>IF(ISNUMBER(IF(D_I="SI",Datos!L15,Datos!L15+Datos!AF15)),IF(D_I="SI",Datos!L15,Datos!L15+Datos!AF15)," - ")</f>
        <v>2604</v>
      </c>
      <c r="I15" s="1043" t="str">
        <f>IF(ISNUMBER(Datos!AS15/Datos!BM15),Datos!AS15/Datos!BM15," - ")</f>
        <v xml:space="preserve"> - </v>
      </c>
      <c r="J15" s="1044">
        <f>IF(ISNUMBER(Datos!BY15/Datos!CN15),Datos!BY15/Datos!CN15," - ")</f>
        <v>0</v>
      </c>
      <c r="K15" s="229">
        <f t="shared" ref="K15:K17" si="3">IF(ISNUMBER((E15-F15)/C15),(E15-F15)/C15," - ")</f>
        <v>7.2046109510086456E-2</v>
      </c>
      <c r="L15" s="1024">
        <f>IF(ISNUMBER(NºAsuntos!I15/NºAsuntos!G15),(NºAsuntos!I15/NºAsuntos!G15)*11," - ")</f>
        <v>16.780316344463973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68</v>
      </c>
      <c r="D16" s="224">
        <f>IF(ISNUMBER(IF(D_I="SI",Datos!I16,Datos!I16+Datos!AC16)),IF(D_I="SI",Datos!I16,Datos!I16+Datos!AC16)," - ")</f>
        <v>65</v>
      </c>
      <c r="E16" s="225">
        <f>IF(ISNUMBER(IF(D_I="SI",Datos!J16,Datos!J16+Datos!AD16)),IF(D_I="SI",Datos!J16,Datos!J16+Datos!AD16)," - ")</f>
        <v>4</v>
      </c>
      <c r="F16" s="225">
        <f>IF(ISNUMBER(IF(D_I="SI",Datos!K16,Datos!K16+Datos!AE16)),IF(D_I="SI",Datos!K16,Datos!K16+Datos!AE16)," - ")</f>
        <v>23</v>
      </c>
      <c r="G16" s="1033" t="str">
        <f>IF(Datos!E16&lt;&gt;"",Datos!E16,Datos!D16)</f>
        <v>04</v>
      </c>
      <c r="H16" s="226">
        <f>IF(ISNUMBER(IF(D_I="SI",Datos!L16,Datos!L16+Datos!AF16)),IF(D_I="SI",Datos!L16,Datos!L16+Datos!AF16)," - ")</f>
        <v>49</v>
      </c>
      <c r="I16" s="1043" t="str">
        <f>IF(ISNUMBER(Datos!AS16/Datos!BM16),Datos!AS16/Datos!BM16," - ")</f>
        <v xml:space="preserve"> - </v>
      </c>
      <c r="J16" s="1044">
        <f>IF(ISNUMBER(Datos!BY16/Datos!CN16),Datos!BY16/Datos!CN16," - ")</f>
        <v>0</v>
      </c>
      <c r="K16" s="229">
        <f t="shared" si="3"/>
        <v>-0.27941176470588236</v>
      </c>
      <c r="L16" s="1024">
        <f>IF(ISNUMBER(NºAsuntos!I16/NºAsuntos!G16),(NºAsuntos!I16/NºAsuntos!G16)*11," - ")</f>
        <v>23.434782608695652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547</v>
      </c>
      <c r="D17" s="224">
        <f>IF(ISNUMBER(IF(D_I="SI",Datos!I17,Datos!I17+Datos!AC17)),IF(D_I="SI",Datos!I17,Datos!I17+Datos!AC17)," - ")</f>
        <v>541</v>
      </c>
      <c r="E17" s="225">
        <f>IF(ISNUMBER(IF(D_I="SI",Datos!J17,Datos!J17+Datos!AD17)),IF(D_I="SI",Datos!J17,Datos!J17+Datos!AD17)," - ")</f>
        <v>417</v>
      </c>
      <c r="F17" s="225">
        <f>IF(ISNUMBER(IF(D_I="SI",Datos!K17,Datos!K17+Datos!AE17)),IF(D_I="SI",Datos!K17,Datos!K17+Datos!AE17)," - ")</f>
        <v>312</v>
      </c>
      <c r="G17" s="1033" t="str">
        <f>IF(Datos!E17&lt;&gt;"",Datos!E17,Datos!D17)</f>
        <v>37</v>
      </c>
      <c r="H17" s="226">
        <f>IF(ISNUMBER(IF(D_I="SI",Datos!L17,Datos!L17+Datos!AF17)),IF(D_I="SI",Datos!L17,Datos!L17+Datos!AF17)," - ")</f>
        <v>652</v>
      </c>
      <c r="I17" s="1043" t="str">
        <f>IF(ISNUMBER(Datos!AS17/Datos!BM17),Datos!AS17/Datos!BM17," - ")</f>
        <v xml:space="preserve"> - </v>
      </c>
      <c r="J17" s="1044" t="str">
        <f>IF(ISNUMBER((Datos!BY17+Datos!BZ17)/Datos!CN17),(Datos!BY17+Datos!BZ17)/Datos!CN17," - ")</f>
        <v xml:space="preserve"> - </v>
      </c>
      <c r="K17" s="229">
        <f t="shared" si="3"/>
        <v>0.19195612431444242</v>
      </c>
      <c r="L17" s="1024">
        <f>IF(ISNUMBER(NºAsuntos!I17/NºAsuntos!G17),(NºAsuntos!I17/NºAsuntos!G17)*11," - ")</f>
        <v>22.987179487179489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3044</v>
      </c>
      <c r="D18" s="1048">
        <f>SUBTOTAL(9,D15:D17)</f>
        <v>2995</v>
      </c>
      <c r="E18" s="1049">
        <f>SUBTOTAL(9,E15:E17)</f>
        <v>2303</v>
      </c>
      <c r="F18" s="1049">
        <f>SUBTOTAL(9,F15:F17)</f>
        <v>2042</v>
      </c>
      <c r="G18" s="1051" t="str">
        <f ca="1">INDIRECT(CONCATENATE("G",ROW()-1))</f>
        <v>37</v>
      </c>
      <c r="H18" s="1052">
        <f ca="1">SUMIF(G$14:G17,G18,H$14:H17)</f>
        <v>652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3189</v>
      </c>
      <c r="D19" s="1070">
        <f>SUBTOTAL(9,D9:D18)</f>
        <v>3140</v>
      </c>
      <c r="E19" s="1071">
        <f>SUBTOTAL(9,E9:E18)</f>
        <v>2349</v>
      </c>
      <c r="F19" s="1071">
        <f>SUBTOTAL(9,F9:F18)</f>
        <v>2073</v>
      </c>
      <c r="G19" s="1072"/>
      <c r="H19" s="1073">
        <f ca="1">SUMIF(B9:B18,"TOTAL",H9:H18)</f>
        <v>652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nkJaahAtj/1pP85vtHl8UFiLdC4gaBUvBsXUgPPqJ1Dfo7/dBTVVtYTh+63dTTC15gjXzDs2brmq/UJGRvh5g==" saltValue="2kbpR+uLjrBr8MiZ3IMRj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8SoO6eY2g/ZHXMG9XS1sMhn1C5fUd18F2VH1KNw6MLg7wq1Bu6WFMRj6mYdD2DsuZNzPMTQ+cCQ02HMeW5Wfw==" saltValue="pCZKCp8myyJjrsBZF+NC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4861</v>
      </c>
      <c r="J9" s="180">
        <v>1496</v>
      </c>
      <c r="K9" s="180">
        <v>1813</v>
      </c>
      <c r="L9" s="180">
        <v>4156</v>
      </c>
      <c r="M9" s="180">
        <v>612</v>
      </c>
      <c r="N9" s="180">
        <v>659</v>
      </c>
      <c r="O9" s="180">
        <v>790</v>
      </c>
      <c r="P9" s="180">
        <v>589</v>
      </c>
      <c r="Q9" s="180">
        <v>349</v>
      </c>
      <c r="R9" s="180">
        <v>6879</v>
      </c>
      <c r="S9" s="180">
        <v>7105</v>
      </c>
      <c r="T9" s="180">
        <v>2543</v>
      </c>
      <c r="U9" s="180">
        <v>3499</v>
      </c>
      <c r="V9" s="180">
        <v>5885</v>
      </c>
      <c r="W9" s="180">
        <v>1475</v>
      </c>
      <c r="X9" s="187">
        <v>1172</v>
      </c>
      <c r="Y9" s="190">
        <v>371</v>
      </c>
      <c r="Z9" s="180">
        <v>243</v>
      </c>
      <c r="AA9" s="180">
        <v>211</v>
      </c>
      <c r="AB9" s="180">
        <v>403</v>
      </c>
      <c r="AC9" s="180">
        <v>0</v>
      </c>
      <c r="AD9" s="180">
        <v>0</v>
      </c>
      <c r="AE9" s="180">
        <v>0</v>
      </c>
      <c r="AF9" s="187">
        <v>0</v>
      </c>
      <c r="AG9" s="190">
        <v>296</v>
      </c>
      <c r="AH9" s="180">
        <v>144</v>
      </c>
      <c r="AI9" s="180">
        <v>125</v>
      </c>
      <c r="AJ9" s="191">
        <v>335</v>
      </c>
      <c r="AK9" s="179">
        <v>0</v>
      </c>
      <c r="AL9" s="180">
        <v>0</v>
      </c>
      <c r="AM9" s="180">
        <v>0</v>
      </c>
      <c r="AN9" s="187">
        <v>0</v>
      </c>
      <c r="AO9" s="257">
        <v>5</v>
      </c>
      <c r="AP9" s="153">
        <v>5</v>
      </c>
      <c r="AQ9" s="153">
        <v>5</v>
      </c>
      <c r="AR9" s="192">
        <v>5</v>
      </c>
      <c r="AS9" s="337" t="s">
        <v>783</v>
      </c>
      <c r="AT9" s="194"/>
      <c r="AU9" s="193"/>
      <c r="AV9" s="194"/>
      <c r="AW9" s="193"/>
      <c r="AX9" s="194"/>
      <c r="AY9" s="123">
        <f>IF(ISNUMBER(IF(J_V="SI",S9,S9+AG9)),IF(J_V="SI",S9,S9+AG9)," - ")</f>
        <v>7401</v>
      </c>
      <c r="AZ9" s="123">
        <f>IF(ISNUMBER(IF(J_V="SI",T9,T9+AH9)),IF(J_V="SI",T9,T9+AH9)," - ")</f>
        <v>2687</v>
      </c>
      <c r="BA9" s="124">
        <f>IF(ISNUMBER(IF(J_V="SI",U9,U9+AI9)),IF(J_V="SI",U9,U9+AI9)," - ")</f>
        <v>3624</v>
      </c>
      <c r="BB9" s="124">
        <f>IF(ISNUMBER(IF(J_V="SI",V9,V9+AJ9)),IF(J_V="SI",V9,V9+AJ9)," - ")</f>
        <v>6220</v>
      </c>
      <c r="BC9" s="125">
        <f>IF(ISNUMBER(X9),X9," - ")</f>
        <v>1172</v>
      </c>
      <c r="BD9" s="126">
        <f>IF(ISNUMBER(BA9/AZ9),BA9/AZ9," - ")</f>
        <v>1.3487160401935243</v>
      </c>
      <c r="BE9" s="127">
        <f>IF(ISNUMBER(BB9/BA9),BB9/BA9, " - ")</f>
        <v>1.7163355408388521</v>
      </c>
      <c r="BF9" s="127">
        <f>IF(ISNUMBER(BC9/BA9),BC9/BA9, " - ")</f>
        <v>0.32339955849889623</v>
      </c>
      <c r="BG9" s="195">
        <f>IF(ISNUMBER((AY9+AZ9)/BA9),(AY9+AZ9)/BA9," - ")</f>
        <v>2.7836644591611477</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145</v>
      </c>
      <c r="J10" s="180">
        <v>46</v>
      </c>
      <c r="K10" s="180">
        <v>31</v>
      </c>
      <c r="L10" s="180">
        <v>160</v>
      </c>
      <c r="M10" s="180">
        <v>6</v>
      </c>
      <c r="N10" s="180">
        <v>20</v>
      </c>
      <c r="O10" s="180">
        <v>0</v>
      </c>
      <c r="P10" s="180">
        <v>5</v>
      </c>
      <c r="Q10" s="180">
        <v>0</v>
      </c>
      <c r="R10" s="180">
        <v>33</v>
      </c>
      <c r="S10" s="180">
        <v>86</v>
      </c>
      <c r="T10" s="180">
        <v>50</v>
      </c>
      <c r="U10" s="180">
        <v>24</v>
      </c>
      <c r="V10" s="180">
        <v>112</v>
      </c>
      <c r="W10" s="180">
        <v>7</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777</v>
      </c>
      <c r="AT10" s="191"/>
      <c r="AU10" s="199"/>
      <c r="AV10" s="191"/>
      <c r="AW10" s="199"/>
      <c r="AX10" s="191"/>
      <c r="AY10" s="128">
        <f t="shared" ref="AY10:BC10" si="0">IF(ISNUMBER(S10),S10," - ")</f>
        <v>86</v>
      </c>
      <c r="AZ10" s="129">
        <f t="shared" si="0"/>
        <v>50</v>
      </c>
      <c r="BA10" s="129">
        <f t="shared" si="0"/>
        <v>24</v>
      </c>
      <c r="BB10" s="129">
        <f t="shared" si="0"/>
        <v>112</v>
      </c>
      <c r="BC10" s="125">
        <f t="shared" si="0"/>
        <v>7</v>
      </c>
      <c r="BD10" s="126">
        <f>IF(ISNUMBER(BA10/AZ10),BA10/AZ10," - ")</f>
        <v>0.48</v>
      </c>
      <c r="BE10" s="127">
        <f>IF(ISNUMBER(BB10/BA10),BB10/BA10, " - ")</f>
        <v>4.666666666666667</v>
      </c>
      <c r="BF10" s="127">
        <f>IF(ISNUMBER(BC10/BA10),BC10/BA10, " - ")</f>
        <v>0.29166666666666669</v>
      </c>
      <c r="BG10" s="195">
        <f>IF(ISNUMBER((AY10+AZ10)/BA10),(AY10+AZ10)/BA10," - ")</f>
        <v>5.666666666666667</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v>44</v>
      </c>
      <c r="J12" s="182">
        <v>9</v>
      </c>
      <c r="K12" s="182">
        <v>12</v>
      </c>
      <c r="L12" s="182">
        <v>70</v>
      </c>
      <c r="M12" s="182">
        <v>7</v>
      </c>
      <c r="N12" s="182">
        <v>48</v>
      </c>
      <c r="O12" s="180">
        <v>6</v>
      </c>
      <c r="P12" s="182">
        <v>0</v>
      </c>
      <c r="Q12" s="182">
        <v>45</v>
      </c>
      <c r="R12" s="182">
        <v>1155</v>
      </c>
      <c r="S12" s="182">
        <v>123</v>
      </c>
      <c r="T12" s="182">
        <v>48</v>
      </c>
      <c r="U12" s="182">
        <v>80</v>
      </c>
      <c r="V12" s="182">
        <v>94</v>
      </c>
      <c r="W12" s="182">
        <v>21</v>
      </c>
      <c r="X12" s="188">
        <v>29</v>
      </c>
      <c r="Y12" s="190">
        <v>20</v>
      </c>
      <c r="Z12" s="180">
        <v>83</v>
      </c>
      <c r="AA12" s="180">
        <v>86</v>
      </c>
      <c r="AB12" s="180">
        <v>20</v>
      </c>
      <c r="AC12" s="182">
        <v>0</v>
      </c>
      <c r="AD12" s="182">
        <v>0</v>
      </c>
      <c r="AE12" s="182">
        <v>0</v>
      </c>
      <c r="AF12" s="188">
        <v>0</v>
      </c>
      <c r="AG12" s="201">
        <v>28</v>
      </c>
      <c r="AH12" s="182">
        <v>78</v>
      </c>
      <c r="AI12" s="182">
        <v>78</v>
      </c>
      <c r="AJ12" s="202">
        <v>28</v>
      </c>
      <c r="AK12" s="181">
        <v>0</v>
      </c>
      <c r="AL12" s="182">
        <v>0</v>
      </c>
      <c r="AM12" s="182">
        <v>0</v>
      </c>
      <c r="AN12" s="188">
        <v>0</v>
      </c>
      <c r="AO12" s="258">
        <v>0</v>
      </c>
      <c r="AP12" s="154">
        <v>0</v>
      </c>
      <c r="AQ12" s="154">
        <v>0</v>
      </c>
      <c r="AR12" s="153">
        <v>0</v>
      </c>
      <c r="AS12" s="339" t="s">
        <v>786</v>
      </c>
      <c r="AT12" s="202"/>
      <c r="AU12" s="201"/>
      <c r="AV12" s="202"/>
      <c r="AW12" s="201"/>
      <c r="AX12" s="202"/>
      <c r="AY12" s="126">
        <f t="shared" si="1"/>
        <v>151</v>
      </c>
      <c r="AZ12" s="127">
        <f t="shared" si="1"/>
        <v>126</v>
      </c>
      <c r="BA12" s="127">
        <f t="shared" si="1"/>
        <v>158</v>
      </c>
      <c r="BB12" s="127">
        <f t="shared" si="1"/>
        <v>122</v>
      </c>
      <c r="BC12" s="125">
        <f>IF(ISNUMBER(X12),X12," - ")</f>
        <v>29</v>
      </c>
      <c r="BD12" s="126">
        <f t="shared" si="2"/>
        <v>1.253968253968254</v>
      </c>
      <c r="BE12" s="127">
        <f t="shared" si="3"/>
        <v>0.77215189873417722</v>
      </c>
      <c r="BF12" s="127">
        <f t="shared" si="4"/>
        <v>0.18354430379746836</v>
      </c>
      <c r="BG12" s="195">
        <f t="shared" si="5"/>
        <v>1.7531645569620253</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5050</v>
      </c>
      <c r="J13" s="183">
        <f t="shared" si="6"/>
        <v>1551</v>
      </c>
      <c r="K13" s="183">
        <f t="shared" si="6"/>
        <v>1856</v>
      </c>
      <c r="L13" s="183">
        <f t="shared" si="6"/>
        <v>4386</v>
      </c>
      <c r="M13" s="183">
        <f t="shared" si="6"/>
        <v>625</v>
      </c>
      <c r="N13" s="183">
        <f t="shared" si="6"/>
        <v>727</v>
      </c>
      <c r="O13" s="183">
        <f t="shared" si="6"/>
        <v>796</v>
      </c>
      <c r="P13" s="183">
        <f t="shared" si="6"/>
        <v>594</v>
      </c>
      <c r="Q13" s="183">
        <f t="shared" si="6"/>
        <v>394</v>
      </c>
      <c r="R13" s="183">
        <f t="shared" si="6"/>
        <v>8067</v>
      </c>
      <c r="S13" s="183">
        <f t="shared" si="6"/>
        <v>7314</v>
      </c>
      <c r="T13" s="183">
        <f t="shared" si="6"/>
        <v>2641</v>
      </c>
      <c r="U13" s="183">
        <f t="shared" si="6"/>
        <v>3603</v>
      </c>
      <c r="V13" s="183">
        <f t="shared" si="6"/>
        <v>6091</v>
      </c>
      <c r="W13" s="183">
        <f t="shared" si="6"/>
        <v>1503</v>
      </c>
      <c r="X13" s="183">
        <f t="shared" si="6"/>
        <v>1209</v>
      </c>
      <c r="Y13" s="183">
        <f t="shared" si="6"/>
        <v>391</v>
      </c>
      <c r="Z13" s="183">
        <f t="shared" si="6"/>
        <v>326</v>
      </c>
      <c r="AA13" s="183">
        <f t="shared" si="6"/>
        <v>297</v>
      </c>
      <c r="AB13" s="183">
        <f t="shared" si="6"/>
        <v>423</v>
      </c>
      <c r="AC13" s="183">
        <f t="shared" si="6"/>
        <v>0</v>
      </c>
      <c r="AD13" s="183">
        <f t="shared" si="6"/>
        <v>0</v>
      </c>
      <c r="AE13" s="183">
        <f t="shared" si="6"/>
        <v>0</v>
      </c>
      <c r="AF13" s="183">
        <f>SUBTOTAL(9,AF9:AF12)</f>
        <v>0</v>
      </c>
      <c r="AG13" s="183">
        <f t="shared" ref="AG13:AT13" si="7">SUBTOTAL(9,AG8:AG12)</f>
        <v>324</v>
      </c>
      <c r="AH13" s="183">
        <f t="shared" si="7"/>
        <v>222</v>
      </c>
      <c r="AI13" s="183">
        <f t="shared" si="7"/>
        <v>203</v>
      </c>
      <c r="AJ13" s="183">
        <f t="shared" si="7"/>
        <v>363</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7638</v>
      </c>
      <c r="AZ13" s="183">
        <f>SUBTOTAL(9,AZ8:AZ12)</f>
        <v>2863</v>
      </c>
      <c r="BA13" s="183">
        <f>SUBTOTAL(9,BA8:BA12)</f>
        <v>3806</v>
      </c>
      <c r="BB13" s="183">
        <f>SUBTOTAL(9,BB8:BB12)</f>
        <v>6454</v>
      </c>
      <c r="BC13" s="183">
        <f>SUBTOTAL(9,BC8:BC12)</f>
        <v>1208</v>
      </c>
      <c r="BD13" s="204">
        <f>IF(ISNUMBER(BA13/AZ13),BA13/AZ13," - ")</f>
        <v>1.3293747816975201</v>
      </c>
      <c r="BE13" s="205">
        <f>IF(ISNUMBER(BB13/BA13),BB13/BA13, " - ")</f>
        <v>1.6957435627955859</v>
      </c>
      <c r="BF13" s="205">
        <f>IF(ISNUMBER(BC13/BA13),BC13/BA13, " - ")</f>
        <v>0.31739358906988963</v>
      </c>
      <c r="BG13" s="206">
        <f>IF(ISNUMBER((AY13+AZ13)/BA13),(AY13+AZ13)/BA13," - ")</f>
        <v>2.7590646347871783</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2389</v>
      </c>
      <c r="J15" s="182">
        <v>1882</v>
      </c>
      <c r="K15" s="182">
        <v>1707</v>
      </c>
      <c r="L15" s="182">
        <v>2604</v>
      </c>
      <c r="M15" s="182">
        <v>197</v>
      </c>
      <c r="N15" s="182">
        <v>1214</v>
      </c>
      <c r="O15" s="180">
        <v>24</v>
      </c>
      <c r="P15" s="182">
        <v>89</v>
      </c>
      <c r="Q15" s="182">
        <v>138</v>
      </c>
      <c r="R15" s="182">
        <v>142</v>
      </c>
      <c r="S15" s="182">
        <v>2678</v>
      </c>
      <c r="T15" s="182">
        <v>1791</v>
      </c>
      <c r="U15" s="182">
        <v>1549</v>
      </c>
      <c r="V15" s="182">
        <v>2955</v>
      </c>
      <c r="W15" s="182">
        <v>195</v>
      </c>
      <c r="X15" s="188">
        <v>919</v>
      </c>
      <c r="Y15" s="201">
        <v>0</v>
      </c>
      <c r="Z15" s="182">
        <v>0</v>
      </c>
      <c r="AA15" s="182">
        <v>0</v>
      </c>
      <c r="AB15" s="182">
        <v>0</v>
      </c>
      <c r="AC15" s="182">
        <v>1</v>
      </c>
      <c r="AD15" s="182">
        <v>12</v>
      </c>
      <c r="AE15" s="182">
        <v>11</v>
      </c>
      <c r="AF15" s="188">
        <v>2</v>
      </c>
      <c r="AG15" s="201">
        <v>0</v>
      </c>
      <c r="AH15" s="182">
        <v>0</v>
      </c>
      <c r="AI15" s="182">
        <v>0</v>
      </c>
      <c r="AJ15" s="202">
        <v>0</v>
      </c>
      <c r="AK15" s="181">
        <v>0</v>
      </c>
      <c r="AL15" s="182">
        <v>6</v>
      </c>
      <c r="AM15" s="182">
        <v>6</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2678</v>
      </c>
      <c r="AZ15" s="129">
        <f t="shared" si="9"/>
        <v>1791</v>
      </c>
      <c r="BA15" s="129">
        <f t="shared" si="9"/>
        <v>1549</v>
      </c>
      <c r="BB15" s="129">
        <f t="shared" si="9"/>
        <v>2955</v>
      </c>
      <c r="BC15" s="125">
        <f>IF(ISNUMBER(W15),W15," - ")</f>
        <v>195</v>
      </c>
      <c r="BD15" s="126">
        <f>IF(ISNUMBER(BA15/AZ15),BA15/AZ15," - ")</f>
        <v>0.86487995533221662</v>
      </c>
      <c r="BE15" s="127">
        <f>IF(ISNUMBER(BB15/BA15),BB15/BA15, " - ")</f>
        <v>1.9076823757262751</v>
      </c>
      <c r="BF15" s="127">
        <f>IF(ISNUMBER(BC15/BA15),BC15/BA15, " - ")</f>
        <v>0.12588766946417043</v>
      </c>
      <c r="BG15" s="195">
        <f t="shared" ref="BG15:BG16" si="10">IF(ISNUMBER((AY15+AZ15)/BA15),(AY15+AZ15)/BA15," - ")</f>
        <v>2.8850871530019369</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65</v>
      </c>
      <c r="J16" s="182">
        <v>4</v>
      </c>
      <c r="K16" s="182">
        <v>23</v>
      </c>
      <c r="L16" s="182">
        <v>49</v>
      </c>
      <c r="M16" s="182">
        <v>0</v>
      </c>
      <c r="N16" s="182">
        <v>4</v>
      </c>
      <c r="O16" s="180">
        <v>0</v>
      </c>
      <c r="P16" s="182">
        <v>0</v>
      </c>
      <c r="Q16" s="182">
        <v>22</v>
      </c>
      <c r="R16" s="182">
        <v>61</v>
      </c>
      <c r="S16" s="182">
        <v>90</v>
      </c>
      <c r="T16" s="182">
        <v>5</v>
      </c>
      <c r="U16" s="182">
        <v>27</v>
      </c>
      <c r="V16" s="182">
        <v>69</v>
      </c>
      <c r="W16" s="182">
        <v>0</v>
      </c>
      <c r="X16" s="188">
        <v>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90</v>
      </c>
      <c r="AZ16" s="127">
        <f t="shared" si="9"/>
        <v>5</v>
      </c>
      <c r="BA16" s="127">
        <f t="shared" si="9"/>
        <v>27</v>
      </c>
      <c r="BB16" s="127">
        <f t="shared" si="9"/>
        <v>69</v>
      </c>
      <c r="BC16" s="125">
        <f>IF(ISNUMBER(W16),W16," - ")</f>
        <v>0</v>
      </c>
      <c r="BD16" s="126">
        <f t="shared" ref="BD16" si="11">IF(ISNUMBER(BA16/AZ16),BA16/AZ16," - ")</f>
        <v>5.4</v>
      </c>
      <c r="BE16" s="127">
        <f t="shared" ref="BE16" si="12">IF(ISNUMBER(BB16/BA16),BB16/BA16, " - ")</f>
        <v>2.5555555555555554</v>
      </c>
      <c r="BF16" s="127">
        <f t="shared" ref="BF16" si="13">IF(ISNUMBER(BC16/BA16),BC16/BA16, " - ")</f>
        <v>0</v>
      </c>
      <c r="BG16" s="195">
        <f t="shared" si="10"/>
        <v>3.5185185185185186</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541</v>
      </c>
      <c r="J17" s="182">
        <v>417</v>
      </c>
      <c r="K17" s="182">
        <v>312</v>
      </c>
      <c r="L17" s="182">
        <v>652</v>
      </c>
      <c r="M17" s="182">
        <v>52</v>
      </c>
      <c r="N17" s="182">
        <v>207</v>
      </c>
      <c r="O17" s="182">
        <v>0</v>
      </c>
      <c r="P17" s="182">
        <v>3</v>
      </c>
      <c r="Q17" s="182">
        <v>9</v>
      </c>
      <c r="R17" s="182">
        <v>21</v>
      </c>
      <c r="S17" s="182">
        <v>232</v>
      </c>
      <c r="T17" s="182">
        <v>582</v>
      </c>
      <c r="U17" s="182">
        <v>508</v>
      </c>
      <c r="V17" s="182">
        <v>330</v>
      </c>
      <c r="W17" s="182">
        <v>59</v>
      </c>
      <c r="X17" s="188">
        <v>232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776</v>
      </c>
      <c r="AT17" s="208"/>
      <c r="AU17" s="199"/>
      <c r="AV17" s="208"/>
      <c r="AW17" s="199"/>
      <c r="AX17" s="208"/>
      <c r="AY17" s="128">
        <f t="shared" ref="AY17:BB17" si="14">IF(ISNUMBER(S17),S17," - ")</f>
        <v>232</v>
      </c>
      <c r="AZ17" s="129">
        <f t="shared" si="14"/>
        <v>582</v>
      </c>
      <c r="BA17" s="129">
        <f t="shared" si="14"/>
        <v>508</v>
      </c>
      <c r="BB17" s="129">
        <f t="shared" si="14"/>
        <v>330</v>
      </c>
      <c r="BC17" s="125">
        <f>IF(ISNUMBER(W17),W17," - ")</f>
        <v>59</v>
      </c>
      <c r="BD17" s="126">
        <f>IF(ISNUMBER(BA17/AZ17),BA17/AZ17," - ")</f>
        <v>0.87285223367697595</v>
      </c>
      <c r="BE17" s="127">
        <f>IF(ISNUMBER(BB17/BA17),BB17/BA17, " - ")</f>
        <v>0.64960629921259838</v>
      </c>
      <c r="BF17" s="127">
        <f>IF(ISNUMBER(BC17/BA17),BC17/BA17, " - ")</f>
        <v>0.11614173228346457</v>
      </c>
      <c r="BG17" s="195">
        <f>IF(ISNUMBER((AY17+AZ17)/BA17),(AY17+AZ17)/BA17," - ")</f>
        <v>1.6023622047244095</v>
      </c>
      <c r="BH17" s="154">
        <v>2</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2995</v>
      </c>
      <c r="J18" s="183">
        <f t="shared" si="15"/>
        <v>2303</v>
      </c>
      <c r="K18" s="183">
        <f t="shared" si="15"/>
        <v>2042</v>
      </c>
      <c r="L18" s="183">
        <f t="shared" si="15"/>
        <v>3305</v>
      </c>
      <c r="M18" s="183">
        <f t="shared" si="15"/>
        <v>249</v>
      </c>
      <c r="N18" s="183">
        <f t="shared" si="15"/>
        <v>1425</v>
      </c>
      <c r="O18" s="183">
        <f t="shared" si="15"/>
        <v>24</v>
      </c>
      <c r="P18" s="183">
        <f t="shared" si="15"/>
        <v>92</v>
      </c>
      <c r="Q18" s="183">
        <f t="shared" si="15"/>
        <v>169</v>
      </c>
      <c r="R18" s="183">
        <f t="shared" si="15"/>
        <v>224</v>
      </c>
      <c r="S18" s="183">
        <f t="shared" si="15"/>
        <v>3000</v>
      </c>
      <c r="T18" s="183">
        <f t="shared" si="15"/>
        <v>2378</v>
      </c>
      <c r="U18" s="183">
        <f t="shared" si="15"/>
        <v>2084</v>
      </c>
      <c r="V18" s="183">
        <f t="shared" si="15"/>
        <v>3354</v>
      </c>
      <c r="W18" s="183">
        <f t="shared" si="15"/>
        <v>254</v>
      </c>
      <c r="X18" s="183">
        <f t="shared" si="15"/>
        <v>1155</v>
      </c>
      <c r="Y18" s="183">
        <f t="shared" si="15"/>
        <v>0</v>
      </c>
      <c r="Z18" s="183">
        <f t="shared" si="15"/>
        <v>0</v>
      </c>
      <c r="AA18" s="183">
        <f t="shared" si="15"/>
        <v>0</v>
      </c>
      <c r="AB18" s="183">
        <f t="shared" si="15"/>
        <v>0</v>
      </c>
      <c r="AC18" s="183">
        <f t="shared" si="15"/>
        <v>1</v>
      </c>
      <c r="AD18" s="183">
        <f t="shared" si="15"/>
        <v>12</v>
      </c>
      <c r="AE18" s="183">
        <f t="shared" si="15"/>
        <v>11</v>
      </c>
      <c r="AF18" s="183">
        <f t="shared" si="15"/>
        <v>2</v>
      </c>
      <c r="AG18" s="183">
        <f t="shared" si="15"/>
        <v>0</v>
      </c>
      <c r="AH18" s="183">
        <f t="shared" si="15"/>
        <v>0</v>
      </c>
      <c r="AI18" s="183">
        <f t="shared" si="15"/>
        <v>0</v>
      </c>
      <c r="AJ18" s="183">
        <f t="shared" si="15"/>
        <v>0</v>
      </c>
      <c r="AK18" s="183">
        <f t="shared" si="15"/>
        <v>0</v>
      </c>
      <c r="AL18" s="183">
        <f t="shared" si="15"/>
        <v>6</v>
      </c>
      <c r="AM18" s="183">
        <f t="shared" si="15"/>
        <v>6</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3000</v>
      </c>
      <c r="AZ18" s="183">
        <f>SUBTOTAL(9,AZ14:AZ17)</f>
        <v>2378</v>
      </c>
      <c r="BA18" s="183">
        <f>SUBTOTAL(9,BA14:BA17)</f>
        <v>2084</v>
      </c>
      <c r="BB18" s="183">
        <f>SUBTOTAL(9,BB14:BB17)</f>
        <v>3354</v>
      </c>
      <c r="BC18" s="183">
        <f>SUBTOTAL(9,BC14:BC17)</f>
        <v>254</v>
      </c>
      <c r="BD18" s="204">
        <f>IF(ISNUMBER(BA18/AZ18),BA18/AZ18," - ")</f>
        <v>0.8763666947014298</v>
      </c>
      <c r="BE18" s="205">
        <f>IF(ISNUMBER(BB18/BA18),BB18/BA18, " - ")</f>
        <v>1.6094049904030709</v>
      </c>
      <c r="BF18" s="205">
        <f>IF(ISNUMBER(BC18/BA18),BC18/BA18, " - ")</f>
        <v>0.1218809980806142</v>
      </c>
      <c r="BG18" s="206">
        <f>IF(ISNUMBER((AY18+AZ18)/BA18),(AY18+AZ18)/BA18," - ")</f>
        <v>2.5806142034548945</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8045</v>
      </c>
      <c r="J19" s="134">
        <f t="shared" si="18"/>
        <v>3854</v>
      </c>
      <c r="K19" s="134">
        <f t="shared" si="18"/>
        <v>3898</v>
      </c>
      <c r="L19" s="134">
        <f t="shared" si="18"/>
        <v>7691</v>
      </c>
      <c r="M19" s="134">
        <f t="shared" si="18"/>
        <v>874</v>
      </c>
      <c r="N19" s="134">
        <f t="shared" si="18"/>
        <v>2152</v>
      </c>
      <c r="O19" s="134">
        <f t="shared" si="18"/>
        <v>820</v>
      </c>
      <c r="P19" s="134">
        <f t="shared" si="18"/>
        <v>686</v>
      </c>
      <c r="Q19" s="134">
        <f t="shared" si="18"/>
        <v>563</v>
      </c>
      <c r="R19" s="134">
        <f t="shared" si="18"/>
        <v>8291</v>
      </c>
      <c r="S19" s="134">
        <f t="shared" si="18"/>
        <v>10314</v>
      </c>
      <c r="T19" s="134">
        <f t="shared" si="18"/>
        <v>5019</v>
      </c>
      <c r="U19" s="134">
        <f t="shared" si="18"/>
        <v>5687</v>
      </c>
      <c r="V19" s="134">
        <f t="shared" si="18"/>
        <v>9445</v>
      </c>
      <c r="W19" s="134">
        <f t="shared" si="18"/>
        <v>1757</v>
      </c>
      <c r="X19" s="134">
        <f t="shared" si="18"/>
        <v>2364</v>
      </c>
      <c r="Y19" s="134">
        <f t="shared" si="18"/>
        <v>391</v>
      </c>
      <c r="Z19" s="134">
        <f t="shared" si="18"/>
        <v>326</v>
      </c>
      <c r="AA19" s="134">
        <f t="shared" si="18"/>
        <v>297</v>
      </c>
      <c r="AB19" s="134">
        <f t="shared" si="18"/>
        <v>423</v>
      </c>
      <c r="AC19" s="134">
        <f t="shared" si="18"/>
        <v>1</v>
      </c>
      <c r="AD19" s="134">
        <f t="shared" si="18"/>
        <v>12</v>
      </c>
      <c r="AE19" s="134">
        <f t="shared" si="18"/>
        <v>11</v>
      </c>
      <c r="AF19" s="134">
        <f t="shared" si="18"/>
        <v>2</v>
      </c>
      <c r="AG19" s="134">
        <f t="shared" si="18"/>
        <v>324</v>
      </c>
      <c r="AH19" s="134">
        <f t="shared" si="18"/>
        <v>222</v>
      </c>
      <c r="AI19" s="134">
        <f t="shared" si="18"/>
        <v>203</v>
      </c>
      <c r="AJ19" s="134">
        <f t="shared" si="18"/>
        <v>363</v>
      </c>
      <c r="AK19" s="134">
        <f t="shared" si="18"/>
        <v>0</v>
      </c>
      <c r="AL19" s="134">
        <f t="shared" si="18"/>
        <v>6</v>
      </c>
      <c r="AM19" s="134">
        <f t="shared" si="18"/>
        <v>6</v>
      </c>
      <c r="AN19" s="209">
        <f t="shared" si="18"/>
        <v>0</v>
      </c>
      <c r="AO19" s="210">
        <v>10</v>
      </c>
      <c r="AP19" s="210">
        <v>9</v>
      </c>
      <c r="AQ19" s="210">
        <v>9</v>
      </c>
      <c r="AR19" s="210">
        <v>9</v>
      </c>
      <c r="AS19" s="152">
        <f t="shared" si="18"/>
        <v>0</v>
      </c>
      <c r="AT19" s="152">
        <f t="shared" si="18"/>
        <v>0</v>
      </c>
      <c r="AU19" s="210"/>
      <c r="AV19" s="211"/>
      <c r="AW19" s="210"/>
      <c r="AX19" s="211"/>
      <c r="AY19" s="133">
        <f>SUBTOTAL(9,AY9:AY18)</f>
        <v>10638</v>
      </c>
      <c r="AZ19" s="134">
        <f>SUBTOTAL(9,AZ9:AZ18)</f>
        <v>5241</v>
      </c>
      <c r="BA19" s="134">
        <f>SUBTOTAL(9,BA9:BA18)</f>
        <v>5890</v>
      </c>
      <c r="BB19" s="134">
        <f>SUBTOTAL(9,BB9:BB18)</f>
        <v>9808</v>
      </c>
      <c r="BC19" s="135">
        <f>SUBTOTAL(9,BC9:BC18)</f>
        <v>1462</v>
      </c>
      <c r="BD19" s="212">
        <f>IF(ISNUMBER(BA19/AZ19),BA19/AZ19," - ")</f>
        <v>1.1238313298988742</v>
      </c>
      <c r="BE19" s="209">
        <f>IF(ISNUMBER(BB19/BA19),BB19/BA19, " - ")</f>
        <v>1.6651952461799659</v>
      </c>
      <c r="BF19" s="209">
        <f>IF(ISNUMBER(BC19/BA19),BC19/BA19, " - ")</f>
        <v>0.24821731748726655</v>
      </c>
      <c r="BG19" s="135">
        <f>IF(ISNUMBER((AY19+AZ19)/BA19),(AY19+AZ19)/BA19," - ")</f>
        <v>2.6959252971137522</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p0Fcthbf0+4593EZYMMnSU93bEA84GQxclWo5j+4sgqQrE+qdWhrmzwkmOdIBl0OnCAIV6WO9wBpq3lzqh4sQ==" saltValue="HBUHOjMK86TNhhlVG7Adz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6brF0EtLcKRzm5jSQ5qpIQtqnXEF33e7ENr+/wiXqnoz0COGoonejTRtbGncFlB+3a2ycH8y7fTjprv+ruQWw==" saltValue="q/Y0uE1wql69mvK6tGPpZ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TOLEDO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243</v>
      </c>
      <c r="O9" s="333"/>
      <c r="P9" s="333"/>
      <c r="Q9" s="225">
        <f>IF(ISNUMBER(Datos!P9),Datos!P9,0)</f>
        <v>589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349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403</v>
      </c>
      <c r="AI9" s="333" t="str">
        <f>IF(ISNUMBER(Datos!CD9),Datos!CD9,"-")</f>
        <v>-</v>
      </c>
      <c r="AJ9" s="333" t="str">
        <f>IF(ISNUMBER(Datos!EN9),Datos!EN9," - ")</f>
        <v xml:space="preserve"> - </v>
      </c>
      <c r="AK9" s="333"/>
      <c r="AL9" s="478"/>
      <c r="AM9" s="334">
        <f>IF(ISNUMBER(Datos!R9),Datos!R9," - ")</f>
        <v>6879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612</v>
      </c>
      <c r="BD9" s="228">
        <f>IF(ISNUMBER(Datos!N9),Datos!N9," - ")</f>
        <v>659</v>
      </c>
      <c r="BE9" s="228" t="str">
        <f>IF(ISNUMBER(Datos!BW9),Datos!BW9," - ")</f>
        <v xml:space="preserve"> - </v>
      </c>
      <c r="BF9" s="227" t="str">
        <f>IF(ISNUMBER(Datos!BX9),Datos!BX9," - ")</f>
        <v xml:space="preserve"> - </v>
      </c>
      <c r="BG9" s="242">
        <f>IF(ISNUMBER(IF(J_V="SI",Datos!K9/Datos!J9,(Datos!K9+Datos!AA9)/(Datos!J9+Datos!Z9))),IF(J_V="SI",Datos!K9/Datos!J9,(Datos!K9+Datos!AA9)/(Datos!J9+Datos!Z9))," - ")</f>
        <v>1.1638872915468661</v>
      </c>
      <c r="BH9" s="259">
        <f>IF(ISNUMBER(((IF(J_V="SI",Datos!L9/Datos!K9,(Datos!L9+Datos!AB9)/(Datos!K9+Datos!AA9)))*11)/factor_trimestre),((IF(J_V="SI",Datos!L9/Datos!K9,(Datos!L9+Datos!AB9)/(Datos!K9+Datos!AA9)))*11)/factor_trimestre," - ")</f>
        <v>6.7574110671936758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3.6150022593764118E-2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145</v>
      </c>
      <c r="G10" s="332">
        <f>IF(ISNUMBER(Datos!I10),Datos!I10," - ")</f>
        <v>145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31</v>
      </c>
      <c r="AC10" s="225">
        <f>IF(ISNUMBER(Datos!Q10),Datos!Q10," - ")</f>
        <v>0</v>
      </c>
      <c r="AD10" s="333"/>
      <c r="AE10" s="483"/>
      <c r="AF10" s="331">
        <f>IF(ISNUMBER(Datos!L10),Datos!L10,"-")</f>
        <v>160</v>
      </c>
      <c r="AG10" s="333"/>
      <c r="AH10" s="333"/>
      <c r="AI10" s="333"/>
      <c r="AJ10" s="333"/>
      <c r="AK10" s="333"/>
      <c r="AL10" s="478"/>
      <c r="AM10" s="334">
        <f>IF(ISNUMBER(Datos!R10),Datos!R10," - ")</f>
        <v>33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20</v>
      </c>
      <c r="BE10" s="228" t="str">
        <f>IF(ISNUMBER(Datos!BW10),Datos!BW10," - ")</f>
        <v xml:space="preserve"> - </v>
      </c>
      <c r="BF10" s="227" t="str">
        <f>IF(ISNUMBER(Datos!BX10),Datos!BX10," - ")</f>
        <v xml:space="preserve"> - </v>
      </c>
      <c r="BG10" s="242">
        <f>IF(ISNUMBER(Datos!K10/Datos!J10),Datos!K10/Datos!J10," - ")</f>
        <v>0.67391304347826086</v>
      </c>
      <c r="BH10" s="259">
        <f>IF(ISNUMBER(((Datos!L10/Datos!K10)*11)/factor_trimestre),((Datos!L10/Datos!K10)*11)/factor_trimestre," - ")</f>
        <v>15.483870967741936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0.17857142857142858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83</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v>
      </c>
      <c r="AI12" s="333" t="str">
        <f>IF(ISNUMBER(Datos!CD12),Datos!CD12,"-")</f>
        <v>-</v>
      </c>
      <c r="AJ12" s="333" t="str">
        <f>IF(ISNUMBER(Datos!EN12),Datos!EN12," - ")</f>
        <v xml:space="preserve"> - </v>
      </c>
      <c r="AK12" s="333"/>
      <c r="AL12" s="478"/>
      <c r="AM12" s="334">
        <f>IF(ISNUMBER(Datos!R12),Datos!R12," - ")</f>
        <v>1155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v>
      </c>
      <c r="BD12" s="228">
        <f>IF(ISNUMBER(Datos!N12),Datos!N12," - ")</f>
        <v>48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1.0652173913043479</v>
      </c>
      <c r="BH12" s="259">
        <f>IF(ISNUMBER(((IF(J_V="SI",Datos!L12/Datos!K12,(Datos!L12+Datos!AB12)/(Datos!K12+Datos!AA12)))*11)/factor_trimestre),((IF(J_V="SI",Datos!L12/Datos!K12,(Datos!L12+Datos!AB12)/(Datos!K12+Datos!AA12)))*11)/factor_trimestre," - ")</f>
        <v>2.7551020408163267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-3.7499999999999999E-2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145</v>
      </c>
      <c r="G13" s="897">
        <f t="shared" si="0"/>
        <v>145</v>
      </c>
      <c r="H13" s="898">
        <f t="shared" si="0"/>
        <v>0</v>
      </c>
      <c r="I13" s="897">
        <f t="shared" si="0"/>
        <v>0</v>
      </c>
      <c r="J13" s="866">
        <f t="shared" si="0"/>
        <v>0</v>
      </c>
      <c r="K13" s="866">
        <f t="shared" si="0"/>
        <v>0</v>
      </c>
      <c r="L13" s="898">
        <f t="shared" si="0"/>
        <v>0</v>
      </c>
      <c r="M13" s="898">
        <f t="shared" si="0"/>
        <v>0</v>
      </c>
      <c r="N13" s="898">
        <f t="shared" si="0"/>
        <v>326</v>
      </c>
      <c r="O13" s="899">
        <f t="shared" si="0"/>
        <v>0</v>
      </c>
      <c r="P13" s="899">
        <f t="shared" si="0"/>
        <v>0</v>
      </c>
      <c r="Q13" s="898">
        <f t="shared" si="0"/>
        <v>594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31</v>
      </c>
      <c r="AC13" s="898">
        <f t="shared" si="1"/>
        <v>394</v>
      </c>
      <c r="AD13" s="898">
        <f t="shared" si="1"/>
        <v>0</v>
      </c>
      <c r="AE13" s="898">
        <f t="shared" si="1"/>
        <v>0</v>
      </c>
      <c r="AF13" s="898">
        <f t="shared" si="1"/>
        <v>160</v>
      </c>
      <c r="AG13" s="898">
        <f t="shared" si="1"/>
        <v>0</v>
      </c>
      <c r="AH13" s="898">
        <f t="shared" si="1"/>
        <v>423</v>
      </c>
      <c r="AI13" s="898">
        <f t="shared" si="1"/>
        <v>0</v>
      </c>
      <c r="AJ13" s="898">
        <f t="shared" si="1"/>
        <v>0</v>
      </c>
      <c r="AK13" s="898">
        <f t="shared" si="1"/>
        <v>0</v>
      </c>
      <c r="AL13" s="898">
        <f t="shared" si="1"/>
        <v>0</v>
      </c>
      <c r="AM13" s="898">
        <f t="shared" si="1"/>
        <v>8067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625</v>
      </c>
      <c r="BD13" s="898">
        <f t="shared" si="1"/>
        <v>727</v>
      </c>
      <c r="BE13" s="898">
        <f t="shared" si="1"/>
        <v>0</v>
      </c>
      <c r="BF13" s="898">
        <f t="shared" si="1"/>
        <v>0</v>
      </c>
      <c r="BG13" s="898">
        <f>IF(ISNUMBER(Datos!K13/Datos!J13),Datos!K13/Datos!J13," - ")</f>
        <v>1.1966473243068987</v>
      </c>
      <c r="BH13" s="902">
        <f>IF(ISNUMBER(((Datos!L13/Datos!K13)*11)/factor_trimestre),((Datos!L13/Datos!K13)*11)/factor_trimestre," - ")</f>
        <v>7.0894396551724137</v>
      </c>
      <c r="BI13" s="898">
        <f>IF(ISNUMBER('Resol  Asuntos'!D13/NºAsuntos!G13),'Resol  Asuntos'!D13/NºAsuntos!G13," - ")</f>
        <v>0.29029261495587555</v>
      </c>
      <c r="BJ13" s="898" t="str">
        <f>IF(ISNUMBER(Datos!CI13/Datos!CJ13),Datos!CI13/Datos!CJ13," - ")</f>
        <v xml:space="preserve"> - </v>
      </c>
      <c r="BK13" s="898">
        <f>SUBTOTAL(9,BK8:BK12)</f>
        <v>0</v>
      </c>
      <c r="BL13" s="898">
        <f>IF(ISNUMBER((I13-AB13+L13)/(F13)),(I13-AB13+L13)/(F13)," - ")</f>
        <v>-0.21379310344827587</v>
      </c>
      <c r="BM13" s="903">
        <f>SUBTOTAL(9,BM9:BM12)</f>
        <v>0.17722145116519269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2429</v>
      </c>
      <c r="G15" s="597">
        <f>IF(ISNUMBER(IF(D_I="SI",Datos!I15,Datos!I15+Datos!AC15)),IF(D_I="SI",Datos!I15,Datos!I15+Datos!AC15)," - ")</f>
        <v>2389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1707</v>
      </c>
      <c r="AC15" s="225">
        <f>IF(ISNUMBER(Datos!Q15),Datos!Q15," - ")</f>
        <v>138</v>
      </c>
      <c r="AD15" s="333"/>
      <c r="AE15" s="483"/>
      <c r="AF15" s="595">
        <f>IF(ISNUMBER(IF(D_I="SI",Datos!L15,Datos!L15+Datos!AF15)),IF(D_I="SI",Datos!L15,Datos!L15+Datos!AF15)," - ")</f>
        <v>2604</v>
      </c>
      <c r="AG15" s="333"/>
      <c r="AH15" s="333"/>
      <c r="AI15" s="333"/>
      <c r="AJ15" s="333"/>
      <c r="AK15" s="333"/>
      <c r="AL15" s="478"/>
      <c r="AM15" s="334">
        <f>IF(ISNUMBER(Datos!R15),Datos!R15," - ")</f>
        <v>142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197</v>
      </c>
      <c r="BD15" s="228">
        <f>IF(ISNUMBER(Datos!N15),Datos!N15," - ")</f>
        <v>1214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0.90701381509032941</v>
      </c>
      <c r="BH15" s="259">
        <f>IF(ISNUMBER(((IF(D_I="SI",Datos!L15/Datos!K15,(Datos!L15+Datos!AF15)/(Datos!K15+Datos!AE15)))*11)/factor_trimestre),((IF(D_I="SI",Datos!L15/Datos!K15,(Datos!L15+Datos!AF15)/(Datos!K15+Datos!AE15)))*11)/factor_trimestre," - ")</f>
        <v>4.5764499121265381</v>
      </c>
      <c r="BI15" s="242">
        <f>IF(ISNUMBER('Resol  Asuntos'!D15/NºAsuntos!G15),'Resol  Asuntos'!D15/NºAsuntos!G15," - ")</f>
        <v>0.11540714704159344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68</v>
      </c>
      <c r="G16" s="597">
        <f>IF(ISNUMBER(IF(D_I="SI",Datos!I16,Datos!I16+Datos!AC16)),IF(D_I="SI",Datos!I16,Datos!I16+Datos!AC16)," - ")</f>
        <v>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v>
      </c>
      <c r="AC16" s="225">
        <f>IF(ISNUMBER(Datos!Q16),Datos!Q16," - ")</f>
        <v>22</v>
      </c>
      <c r="AD16" s="333"/>
      <c r="AE16" s="483"/>
      <c r="AF16" s="595">
        <f>IF(ISNUMBER(IF(D_I="SI",Datos!L16,Datos!L16+Datos!AF16)),IF(D_I="SI",Datos!L16,Datos!L16+Datos!AF16)," - ")</f>
        <v>49</v>
      </c>
      <c r="AG16" s="333"/>
      <c r="AH16" s="333"/>
      <c r="AI16" s="333"/>
      <c r="AJ16" s="333"/>
      <c r="AK16" s="333"/>
      <c r="AL16" s="478"/>
      <c r="AM16" s="334">
        <f>IF(ISNUMBER(Datos!R16),Datos!R16," - ")</f>
        <v>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5.75</v>
      </c>
      <c r="BH16" s="259">
        <f>IF(ISNUMBER(((IF(D_I="SI",Datos!L16/Datos!K16,(Datos!L16+Datos!AF16)/(Datos!K16+Datos!AE16)))*11)/factor_trimestre),((IF(D_I="SI",Datos!L16/Datos!K16,(Datos!L16+Datos!AF16)/(Datos!K16+Datos!AE16)))*11)/factor_trimestre," - ")</f>
        <v>6.3913043478260869</v>
      </c>
      <c r="BI16" s="242">
        <f>IF(ISNUMBER('Resol  Asuntos'!D16/NºAsuntos!G16),'Resol  Asuntos'!D16/NºAsuntos!G16," - ")</f>
        <v>0</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541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312</v>
      </c>
      <c r="AC17" s="225">
        <f>IF(ISNUMBER(Datos!Q17),Datos!Q17," - ")</f>
        <v>9</v>
      </c>
      <c r="AD17" s="333"/>
      <c r="AE17" s="483"/>
      <c r="AF17" s="331">
        <f>IF(ISNUMBER(Datos!L17),Datos!L17,"-")</f>
        <v>652</v>
      </c>
      <c r="AG17" s="333"/>
      <c r="AH17" s="333"/>
      <c r="AI17" s="333"/>
      <c r="AJ17" s="333"/>
      <c r="AK17" s="333"/>
      <c r="AL17" s="478"/>
      <c r="AM17" s="334">
        <f>IF(ISNUMBER(Datos!R17),Datos!R17," - ")</f>
        <v>21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52</v>
      </c>
      <c r="BD17" s="228">
        <f>IF(ISNUMBER(Datos!N17),Datos!N17," - ")</f>
        <v>207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0.74820143884892087</v>
      </c>
      <c r="BH17" s="259">
        <f>IF(ISNUMBER(((IF(D_I="SI",Datos!L17/Datos!K17,(Datos!L17+Datos!AF17)/(Datos!K17+Datos!AE17)))*11)/factor_trimestre),((IF(D_I="SI",Datos!L17/Datos!K17,(Datos!L17+Datos!AF17)/(Datos!K17+Datos!AE17)))*11)/factor_trimestre," - ")</f>
        <v>6.2692307692307701</v>
      </c>
      <c r="BI17" s="242">
        <f>IF(ISNUMBER('Resol  Asuntos'!D17/NºAsuntos!G17),'Resol  Asuntos'!D17/NºAsuntos!G17," - ")</f>
        <v>0.16666666666666666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2497</v>
      </c>
      <c r="G18" s="897">
        <f>SUBTOTAL(9,G15:G17)</f>
        <v>2995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2042</v>
      </c>
      <c r="AC18" s="898">
        <f t="shared" si="4"/>
        <v>169</v>
      </c>
      <c r="AD18" s="898">
        <f t="shared" si="4"/>
        <v>0</v>
      </c>
      <c r="AE18" s="898">
        <f t="shared" si="4"/>
        <v>0</v>
      </c>
      <c r="AF18" s="898">
        <f t="shared" si="4"/>
        <v>3305</v>
      </c>
      <c r="AG18" s="898">
        <f t="shared" si="4"/>
        <v>0</v>
      </c>
      <c r="AH18" s="898">
        <f t="shared" si="4"/>
        <v>0</v>
      </c>
      <c r="AI18" s="898">
        <f t="shared" si="4"/>
        <v>0</v>
      </c>
      <c r="AJ18" s="898">
        <f t="shared" si="4"/>
        <v>0</v>
      </c>
      <c r="AK18" s="898">
        <f t="shared" si="4"/>
        <v>0</v>
      </c>
      <c r="AL18" s="898">
        <f t="shared" si="4"/>
        <v>0</v>
      </c>
      <c r="AM18" s="898">
        <f t="shared" si="4"/>
        <v>224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249</v>
      </c>
      <c r="BD18" s="898">
        <f t="shared" si="4"/>
        <v>1425</v>
      </c>
      <c r="BE18" s="898">
        <f t="shared" si="4"/>
        <v>0</v>
      </c>
      <c r="BF18" s="898">
        <f t="shared" si="4"/>
        <v>0</v>
      </c>
      <c r="BG18" s="898">
        <f>IF(ISNUMBER(Datos!K18/Datos!J18),Datos!K18/Datos!J18," - ")</f>
        <v>0.88666956144159792</v>
      </c>
      <c r="BH18" s="902">
        <f>IF(ISNUMBER(((Datos!L18/Datos!K18)*11)/factor_trimestre),((Datos!L18/Datos!K18)*11)/factor_trimestre," - ")</f>
        <v>4.8555337904015676</v>
      </c>
      <c r="BI18" s="898">
        <f>SUBTOTAL(9,BI15:BI17)</f>
        <v>0.28207381370826012</v>
      </c>
      <c r="BJ18" s="898">
        <f>SUBTOTAL(9,BJ15:BJ17)</f>
        <v>0</v>
      </c>
      <c r="BK18" s="898">
        <f>SUBTOTAL(9,BK15:BK17)</f>
        <v>0</v>
      </c>
      <c r="BL18" s="898">
        <f>IF(ISNUMBER((I18-AB18+L18)/(F18)),(I18-AB18+L18)/(F18)," - ")</f>
        <v>-0.81778133760512617</v>
      </c>
      <c r="BM18" s="904">
        <f>IF(ISNUMBER((Datos!P18-Datos!Q18)/(Datos!R18-Datos!P18+Datos!Q18)),(Datos!P18-Datos!Q18)/(Datos!R18-Datos!P18+Datos!Q18)," - ")</f>
        <v>-0.2558139534883721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2642</v>
      </c>
      <c r="G19" s="819">
        <f t="shared" si="6"/>
        <v>3140</v>
      </c>
      <c r="H19" s="821">
        <f t="shared" si="6"/>
        <v>0</v>
      </c>
      <c r="I19" s="819">
        <f t="shared" si="6"/>
        <v>0</v>
      </c>
      <c r="J19" s="821">
        <f t="shared" si="6"/>
        <v>0</v>
      </c>
      <c r="K19" s="821">
        <f t="shared" si="6"/>
        <v>0</v>
      </c>
      <c r="L19" s="880">
        <f t="shared" si="6"/>
        <v>0</v>
      </c>
      <c r="M19" s="880">
        <f t="shared" si="6"/>
        <v>0</v>
      </c>
      <c r="N19" s="880">
        <f t="shared" si="6"/>
        <v>326</v>
      </c>
      <c r="O19" s="880">
        <f t="shared" si="6"/>
        <v>0</v>
      </c>
      <c r="P19" s="880">
        <f t="shared" si="6"/>
        <v>0</v>
      </c>
      <c r="Q19" s="821">
        <f t="shared" si="6"/>
        <v>686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2073</v>
      </c>
      <c r="AC19" s="820">
        <f t="shared" si="7"/>
        <v>563</v>
      </c>
      <c r="AD19" s="820">
        <f t="shared" si="7"/>
        <v>0</v>
      </c>
      <c r="AE19" s="820">
        <f t="shared" si="7"/>
        <v>0</v>
      </c>
      <c r="AF19" s="827">
        <f t="shared" si="7"/>
        <v>3465</v>
      </c>
      <c r="AG19" s="827">
        <f t="shared" si="7"/>
        <v>0</v>
      </c>
      <c r="AH19" s="827">
        <f t="shared" si="7"/>
        <v>423</v>
      </c>
      <c r="AI19" s="827">
        <f t="shared" si="7"/>
        <v>0</v>
      </c>
      <c r="AJ19" s="820">
        <f t="shared" si="7"/>
        <v>0</v>
      </c>
      <c r="AK19" s="827">
        <f t="shared" si="7"/>
        <v>0</v>
      </c>
      <c r="AL19" s="827">
        <f t="shared" si="7"/>
        <v>0</v>
      </c>
      <c r="AM19" s="827">
        <f t="shared" si="7"/>
        <v>8291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874</v>
      </c>
      <c r="BD19" s="819">
        <f t="shared" si="7"/>
        <v>2152</v>
      </c>
      <c r="BE19" s="819">
        <f t="shared" si="7"/>
        <v>0</v>
      </c>
      <c r="BF19" s="829">
        <f t="shared" si="7"/>
        <v>0</v>
      </c>
      <c r="BG19" s="914">
        <f>IF(ISNUMBER(Datos!K19/Datos!J19),Datos!K19/Datos!J19," - ")</f>
        <v>1.0114167099117799</v>
      </c>
      <c r="BH19" s="914">
        <f>IF(ISNUMBER(((Datos!L19/Datos!K19)*11)/factor_trimestre),((Datos!L19/Datos!K19)*11)/factor_trimestre," - ")</f>
        <v>5.9191893278604422</v>
      </c>
      <c r="BI19" s="812">
        <f>IF(ISNUMBER(Datos!J19/Datos!I19),Datos!J19/Datos!I19," - ")</f>
        <v>0.47905531385954009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-0.78463285389856174</v>
      </c>
      <c r="BM19" s="888">
        <f>IF(ISNUMBER((Datos!P19-Datos!Q19+R19)/(Datos!R19-Datos!P19+Datos!Q19-R19)),(Datos!P19-Datos!Q19+R19)/(Datos!R19-Datos!P19+Datos!Q19-R19)," - ")</f>
        <v>1.5058765915768855E-2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1046.6666666666667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2.3333333333333335</v>
      </c>
      <c r="F21" s="550">
        <f>IF(ISNUMBER(STDEV(F8:F18)),STDEV(F8:F18),"-")</f>
        <v>1284.2889861709475</v>
      </c>
      <c r="G21" s="551">
        <f>IF(ISNUMBER(STDEV(G8:G18)),STDEV(G8:G18),"-")</f>
        <v>1299.4795368402945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929.35698200422428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263.71792289706599</v>
      </c>
      <c r="BD21" s="550"/>
      <c r="BE21" s="550">
        <f>IF(ISNUMBER(STDEV(BE8:BE18)),STDEV(BE8:BE18),"-")</f>
        <v>0</v>
      </c>
      <c r="BF21" s="555">
        <f>IF(ISNUMBER(STDEV(BF8:BF18)),STDEV(BF8:BF18),"-")</f>
        <v>0</v>
      </c>
      <c r="BG21" s="774">
        <f>IF(ISNUMBER(STDEV(BG8:BG18)),STDEV(BG8:BG18),"-")</f>
        <v>1.7076631560577975</v>
      </c>
      <c r="BH21" s="775">
        <f>IF(ISNUMBER(STDEV(BH8:BH18)),STDEV(BH8:BH18),"-")</f>
        <v>3.7989497431838899</v>
      </c>
      <c r="BI21" s="248">
        <f>IF(ISNUMBER(STDEV(BI8:BI18)),STDEV(BI8:BI18),"-")</f>
        <v>0.12136556398626888</v>
      </c>
      <c r="BJ21" s="229" t="str">
        <f>IF(ISNUMBER(BL21/BM21),BL21/BM21," - ")</f>
        <v xml:space="preserve"> - </v>
      </c>
      <c r="BK21" s="574"/>
      <c r="BL21" s="558">
        <f>IF(ISNUMBER(STDEV(BL8:BL18)),STDEV(BL8:BL18),"-")</f>
        <v>0.42708417612919719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AkwL9Gd1MLvxf6DxYcluK+xmBlhOdPAfyxBKqecqo5xokybe/cFjcl2ppUFVgGXl8Sd5Yzs+tW5w+grue5mNJg==" saltValue="r4eYGdhm6bvnc8fCZA18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TOLEDO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589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349</v>
      </c>
      <c r="AA9" s="331" t="str">
        <f>IF(ISNUMBER(IF(J_V="SI",Datos!L9,Datos!L9+Datos!AB9)-IF(Monitorios="SI",Datos!CD9,0)),
                          IF(J_V="SI",Datos!L9,Datos!L9+Datos!AB9)-IF(Monitorios="SI",Datos!CD9,0),
                          " - ")</f>
        <v xml:space="preserve"> - </v>
      </c>
      <c r="AB9" s="333"/>
      <c r="AC9" s="333"/>
      <c r="AD9" s="483"/>
      <c r="AE9" s="483">
        <f>IF(ISNUMBER(Datos!R9),Datos!R9," - ")</f>
        <v>6879</v>
      </c>
      <c r="AF9" s="228" t="str">
        <f>IF(ISNUMBER(Datos!BV9),Datos!BV9," - ")</f>
        <v xml:space="preserve"> - </v>
      </c>
      <c r="AG9" s="224" t="str">
        <f>IF(ISNUMBER(Datos!DV9),Datos!DV9," - ")</f>
        <v xml:space="preserve"> - </v>
      </c>
      <c r="AH9" s="297"/>
      <c r="AI9" s="226"/>
      <c r="AJ9" s="224">
        <f>IF(ISNUMBER(Datos!M9),Datos!M9," - ")</f>
        <v>612</v>
      </c>
      <c r="AK9" s="228">
        <f>IF(ISNUMBER(Datos!N9),Datos!N9," - ")</f>
        <v>659</v>
      </c>
      <c r="AL9" s="228" t="str">
        <f>IF(ISNUMBER(Datos!BW9),Datos!BW9," - ")</f>
        <v xml:space="preserve"> - </v>
      </c>
      <c r="AM9" s="227" t="str">
        <f>IF(ISNUMBER(Datos!BX9),Datos!BX9," - ")</f>
        <v xml:space="preserve"> - </v>
      </c>
      <c r="AN9" s="242"/>
      <c r="AO9" s="259">
        <f>IF(ISNUMBER(((NºAsuntos!I9/NºAsuntos!G9)*11)/factor_trimestre),((NºAsuntos!I9/NºAsuntos!G9)*11)/factor_trimestre," - ")</f>
        <v>6.7574110671936758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3.6150022593764118E-2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145</v>
      </c>
      <c r="G10" s="224">
        <f>IF(ISNUMBER(Datos!I10),Datos!I10," - ")</f>
        <v>145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31</v>
      </c>
      <c r="Z10" s="618">
        <f>IF(ISNUMBER(Datos!Q10),Datos!Q10," - ")</f>
        <v>0</v>
      </c>
      <c r="AA10" s="331">
        <f>IF(ISNUMBER(Datos!L10),Datos!L10,"-")</f>
        <v>160</v>
      </c>
      <c r="AB10" s="333"/>
      <c r="AC10" s="333"/>
      <c r="AD10" s="483"/>
      <c r="AE10" s="483">
        <f>IF(ISNUMBER(Datos!R10),Datos!R10," - ")</f>
        <v>33</v>
      </c>
      <c r="AF10" s="228" t="str">
        <f>IF(ISNUMBER(Datos!BV10),Datos!BV10," - ")</f>
        <v xml:space="preserve"> - </v>
      </c>
      <c r="AG10" s="224" t="str">
        <f>IF(ISNUMBER(Datos!DV10),Datos!DV10," - ")</f>
        <v xml:space="preserve"> - </v>
      </c>
      <c r="AH10" s="297"/>
      <c r="AI10" s="226"/>
      <c r="AJ10" s="224">
        <f>IF(ISNUMBER(Datos!M10),Datos!M10," - ")</f>
        <v>6</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15.483870967741936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0.17857142857142858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45</v>
      </c>
      <c r="AA12" s="331" t="str">
        <f>IF(ISNUMBER(IF(J_V="SI",Datos!L12,Datos!L12+Datos!AB12)-IF(Monitorios="SI",Datos!CD12,0)),
                          IF(J_V="SI",Datos!L12,Datos!L12+Datos!AB12)-IF(Monitorios="SI",Datos!CD12,0),
                          " - ")</f>
        <v xml:space="preserve"> - </v>
      </c>
      <c r="AB12" s="333"/>
      <c r="AC12" s="333"/>
      <c r="AD12" s="483"/>
      <c r="AE12" s="483">
        <f>IF(ISNUMBER(Datos!R12),Datos!R12," - ")</f>
        <v>1155</v>
      </c>
      <c r="AF12" s="228" t="str">
        <f>IF(ISNUMBER(Datos!BV12),Datos!BV12," - ")</f>
        <v xml:space="preserve"> - </v>
      </c>
      <c r="AG12" s="224" t="str">
        <f>IF(ISNUMBER(Datos!DV12),Datos!DV12," - ")</f>
        <v xml:space="preserve"> - </v>
      </c>
      <c r="AH12" s="297"/>
      <c r="AI12" s="226"/>
      <c r="AJ12" s="224">
        <f>IF(ISNUMBER(Datos!M12),Datos!M12," - ")</f>
        <v>7</v>
      </c>
      <c r="AK12" s="228">
        <f>IF(ISNUMBER(Datos!N12),Datos!N12," - ")</f>
        <v>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2.7551020408163267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-3.7499999999999999E-2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145</v>
      </c>
      <c r="G13" s="897">
        <f>SUBTOTAL(9,G8:G12)</f>
        <v>145</v>
      </c>
      <c r="H13" s="907"/>
      <c r="I13" s="897">
        <f t="shared" ref="I13:N13" si="0">SUBTOTAL(9,I8:I12)</f>
        <v>0</v>
      </c>
      <c r="J13" s="866">
        <f t="shared" si="0"/>
        <v>0</v>
      </c>
      <c r="K13" s="907">
        <f t="shared" si="0"/>
        <v>0</v>
      </c>
      <c r="L13" s="907">
        <f t="shared" si="0"/>
        <v>0</v>
      </c>
      <c r="M13" s="907">
        <f t="shared" si="0"/>
        <v>0</v>
      </c>
      <c r="N13" s="907">
        <f t="shared" si="0"/>
        <v>594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31</v>
      </c>
      <c r="Z13" s="906">
        <f t="shared" si="2"/>
        <v>394</v>
      </c>
      <c r="AA13" s="899">
        <f t="shared" si="2"/>
        <v>160</v>
      </c>
      <c r="AB13" s="899">
        <f t="shared" si="2"/>
        <v>0</v>
      </c>
      <c r="AC13" s="899">
        <f t="shared" si="2"/>
        <v>0</v>
      </c>
      <c r="AD13" s="899">
        <f t="shared" si="2"/>
        <v>0</v>
      </c>
      <c r="AE13" s="899">
        <f t="shared" si="2"/>
        <v>8067</v>
      </c>
      <c r="AF13" s="907">
        <f t="shared" si="2"/>
        <v>0</v>
      </c>
      <c r="AG13" s="907">
        <f t="shared" si="2"/>
        <v>0</v>
      </c>
      <c r="AH13" s="907">
        <f t="shared" si="2"/>
        <v>0</v>
      </c>
      <c r="AI13" s="907">
        <f t="shared" si="2"/>
        <v>0</v>
      </c>
      <c r="AJ13" s="907">
        <f t="shared" si="2"/>
        <v>625</v>
      </c>
      <c r="AK13" s="907">
        <f t="shared" si="2"/>
        <v>727</v>
      </c>
      <c r="AL13" s="907">
        <f t="shared" si="2"/>
        <v>0</v>
      </c>
      <c r="AM13" s="907">
        <f t="shared" si="2"/>
        <v>0</v>
      </c>
      <c r="AN13" s="907">
        <f t="shared" si="2"/>
        <v>0</v>
      </c>
      <c r="AO13" s="903">
        <f>IF(ISNUMBER(((NºAsuntos!I13/NºAsuntos!G13)*11)/factor_trimestre),((NºAsuntos!I13/NºAsuntos!G13)*11)/factor_trimestre," - ")</f>
        <v>6.7008824895494659</v>
      </c>
      <c r="AP13" s="909" t="str">
        <f>IF(ISNUMBER(Datos!CI13/Datos!CJ13),Datos!CI13/Datos!CJ13," - ")</f>
        <v xml:space="preserve"> - </v>
      </c>
      <c r="AQ13" s="927">
        <f t="shared" ref="AQ13:AV13" si="3">SUBTOTAL(9,AQ9:AQ12)</f>
        <v>0</v>
      </c>
      <c r="AR13" s="927">
        <f t="shared" si="3"/>
        <v>0.17722145116519269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2429</v>
      </c>
      <c r="G15" s="224">
        <f>IF(ISNUMBER(IF(D_I="SI",Datos!I15,Datos!I15+Datos!AC15)),IF(D_I="SI",Datos!I15,Datos!I15+Datos!AC15)," - ")</f>
        <v>2389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1707</v>
      </c>
      <c r="Z15" s="618">
        <f>IF(ISNUMBER(Datos!Q15),Datos!Q15," - ")</f>
        <v>138</v>
      </c>
      <c r="AA15" s="331">
        <f>IF(ISNUMBER(IF(D_I="SI",Datos!L15,Datos!L15+Datos!AF15)),IF(D_I="SI",Datos!L15,Datos!L15+Datos!AF15)," - ")</f>
        <v>2604</v>
      </c>
      <c r="AB15" s="333"/>
      <c r="AC15" s="333"/>
      <c r="AD15" s="483"/>
      <c r="AE15" s="483">
        <f>IF(ISNUMBER(Datos!R15),Datos!R15," - ")</f>
        <v>142</v>
      </c>
      <c r="AF15" s="228" t="str">
        <f>IF(ISNUMBER(Datos!BV15),Datos!BV15," - ")</f>
        <v xml:space="preserve"> - </v>
      </c>
      <c r="AG15" s="224"/>
      <c r="AH15" s="297"/>
      <c r="AI15" s="226"/>
      <c r="AJ15" s="224">
        <f>IF(ISNUMBER(Datos!M15),Datos!M15," - ")</f>
        <v>197</v>
      </c>
      <c r="AK15" s="228">
        <f>IF(ISNUMBER(Datos!N15),Datos!N15," - ")</f>
        <v>1214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4.5764499121265381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68</v>
      </c>
      <c r="G16" s="224">
        <f>IF(ISNUMBER(IF(D_I="SI",Datos!I16,Datos!I16+Datos!AC16)),IF(D_I="SI",Datos!I16,Datos!I16+Datos!AC16)," - ")</f>
        <v>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v>
      </c>
      <c r="Z16" s="618">
        <f>IF(ISNUMBER(Datos!Q16),Datos!Q16," - ")</f>
        <v>22</v>
      </c>
      <c r="AA16" s="331">
        <f>IF(ISNUMBER(IF(D_I="SI",Datos!L16,Datos!L16+Datos!AF16)),IF(D_I="SI",Datos!L16,Datos!L16+Datos!AF16)," - ")</f>
        <v>49</v>
      </c>
      <c r="AB16" s="333"/>
      <c r="AC16" s="333"/>
      <c r="AD16" s="483"/>
      <c r="AE16" s="483">
        <f>IF(ISNUMBER(Datos!R16),Datos!R16," - ")</f>
        <v>61</v>
      </c>
      <c r="AF16" s="228" t="str">
        <f>IF(ISNUMBER(Datos!BV16),Datos!BV16," - ")</f>
        <v xml:space="preserve"> - </v>
      </c>
      <c r="AG16" s="224"/>
      <c r="AH16" s="297"/>
      <c r="AI16" s="226"/>
      <c r="AJ16" s="224">
        <f>IF(ISNUMBER(Datos!M16),Datos!M16," - ")</f>
        <v>0</v>
      </c>
      <c r="AK16" s="228">
        <f>IF(ISNUMBER(Datos!N16),Datos!N16," - ")</f>
        <v>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6.3913043478260869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541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312</v>
      </c>
      <c r="Z17" s="618">
        <f>IF(ISNUMBER(Datos!Q17),Datos!Q17," - ")</f>
        <v>9</v>
      </c>
      <c r="AA17" s="331">
        <f>IF(ISNUMBER(Datos!L17),Datos!L17,"-")</f>
        <v>652</v>
      </c>
      <c r="AB17" s="333"/>
      <c r="AC17" s="333"/>
      <c r="AD17" s="483"/>
      <c r="AE17" s="483">
        <f>IF(ISNUMBER(Datos!R17),Datos!R17," - ")</f>
        <v>21</v>
      </c>
      <c r="AF17" s="228" t="str">
        <f>IF(ISNUMBER(Datos!BV17),Datos!BV17," - ")</f>
        <v xml:space="preserve"> - </v>
      </c>
      <c r="AG17" s="224" t="str">
        <f>IF(ISNUMBER(Datos!DV17),Datos!DV17," - ")</f>
        <v xml:space="preserve"> - </v>
      </c>
      <c r="AH17" s="297"/>
      <c r="AI17" s="226"/>
      <c r="AJ17" s="224">
        <f>IF(ISNUMBER(Datos!M17),Datos!M17," - ")</f>
        <v>52</v>
      </c>
      <c r="AK17" s="228">
        <f>IF(ISNUMBER(Datos!N17),Datos!N17," - ")</f>
        <v>207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6.2692307692307701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2497</v>
      </c>
      <c r="G18" s="897">
        <f>SUBTOTAL(9,G15:G17)</f>
        <v>2995</v>
      </c>
      <c r="H18" s="931">
        <f>SUBTOTAL(9,H15:H17)</f>
        <v>0</v>
      </c>
      <c r="I18" s="910">
        <f>SUBTOTAL(9,I15:I17)</f>
        <v>0</v>
      </c>
      <c r="J18" s="866">
        <f>SUBTOTAL(9,J14:J17)</f>
        <v>0</v>
      </c>
      <c r="K18" s="931">
        <f t="shared" ref="K18:S18" si="4">SUBTOTAL(9,K15:K17)</f>
        <v>0</v>
      </c>
      <c r="L18" s="931">
        <f t="shared" si="4"/>
        <v>0</v>
      </c>
      <c r="M18" s="931">
        <f t="shared" si="4"/>
        <v>0</v>
      </c>
      <c r="N18" s="931">
        <f t="shared" si="4"/>
        <v>92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2042</v>
      </c>
      <c r="Z18" s="931">
        <f t="shared" si="5"/>
        <v>169</v>
      </c>
      <c r="AA18" s="931">
        <f t="shared" si="5"/>
        <v>3305</v>
      </c>
      <c r="AB18" s="931">
        <f t="shared" si="5"/>
        <v>0</v>
      </c>
      <c r="AC18" s="931">
        <f t="shared" si="5"/>
        <v>0</v>
      </c>
      <c r="AD18" s="931">
        <f t="shared" si="5"/>
        <v>0</v>
      </c>
      <c r="AE18" s="931">
        <f t="shared" si="5"/>
        <v>224</v>
      </c>
      <c r="AF18" s="931">
        <f t="shared" si="5"/>
        <v>0</v>
      </c>
      <c r="AG18" s="931">
        <f t="shared" si="5"/>
        <v>0</v>
      </c>
      <c r="AH18" s="931">
        <f t="shared" si="5"/>
        <v>0</v>
      </c>
      <c r="AI18" s="931">
        <f t="shared" si="5"/>
        <v>0</v>
      </c>
      <c r="AJ18" s="931">
        <f t="shared" si="5"/>
        <v>249</v>
      </c>
      <c r="AK18" s="931">
        <f t="shared" si="5"/>
        <v>1425</v>
      </c>
      <c r="AL18" s="931">
        <f t="shared" si="5"/>
        <v>0</v>
      </c>
      <c r="AM18" s="931">
        <f t="shared" si="5"/>
        <v>0</v>
      </c>
      <c r="AN18" s="931">
        <f t="shared" si="5"/>
        <v>0</v>
      </c>
      <c r="AO18" s="933">
        <f>IF(ISNUMBER(((NºAsuntos!I18/NºAsuntos!G18)*11)/factor_trimestre),((NºAsuntos!I18/NºAsuntos!G18)*11)/factor_trimestre," - ")</f>
        <v>4.8555337904015676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2642</v>
      </c>
      <c r="G19" s="819">
        <f t="shared" si="7"/>
        <v>3140</v>
      </c>
      <c r="H19" s="820">
        <f t="shared" si="7"/>
        <v>0</v>
      </c>
      <c r="I19" s="819">
        <f t="shared" si="7"/>
        <v>0</v>
      </c>
      <c r="J19" s="821">
        <f t="shared" si="7"/>
        <v>0</v>
      </c>
      <c r="K19" s="819">
        <f t="shared" si="7"/>
        <v>0</v>
      </c>
      <c r="L19" s="822">
        <f t="shared" si="7"/>
        <v>0</v>
      </c>
      <c r="M19" s="819">
        <f t="shared" si="7"/>
        <v>0</v>
      </c>
      <c r="N19" s="820">
        <f t="shared" si="7"/>
        <v>686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2073</v>
      </c>
      <c r="Z19" s="826">
        <f t="shared" si="8"/>
        <v>563</v>
      </c>
      <c r="AA19" s="827">
        <f t="shared" si="8"/>
        <v>3465</v>
      </c>
      <c r="AB19" s="827">
        <f t="shared" si="8"/>
        <v>0</v>
      </c>
      <c r="AC19" s="827">
        <f t="shared" si="8"/>
        <v>0</v>
      </c>
      <c r="AD19" s="828">
        <f t="shared" si="8"/>
        <v>0</v>
      </c>
      <c r="AE19" s="828">
        <f t="shared" si="8"/>
        <v>8291</v>
      </c>
      <c r="AF19" s="829">
        <f t="shared" si="8"/>
        <v>0</v>
      </c>
      <c r="AG19" s="830">
        <f t="shared" si="8"/>
        <v>0</v>
      </c>
      <c r="AH19" s="831">
        <f t="shared" si="8"/>
        <v>0</v>
      </c>
      <c r="AI19" s="829">
        <f t="shared" si="8"/>
        <v>0</v>
      </c>
      <c r="AJ19" s="819">
        <f t="shared" si="8"/>
        <v>874</v>
      </c>
      <c r="AK19" s="819">
        <f t="shared" si="8"/>
        <v>2152</v>
      </c>
      <c r="AL19" s="819">
        <f t="shared" si="8"/>
        <v>0</v>
      </c>
      <c r="AM19" s="832">
        <f t="shared" si="8"/>
        <v>0</v>
      </c>
      <c r="AN19" s="822">
        <f>IF(ISNUMBER(Datos!K19/Datos!J19),Datos!K19/Datos!J19," - ")</f>
        <v>1.0114167099117799</v>
      </c>
      <c r="AO19" s="822">
        <f>IF(ISNUMBER(FIND("06",Criterios!A8,1)),(IF(ISNUMBER(((Datos!R19/Datos!Q19)*11)/factor_trimestre),((Datos!R19/Datos!Q19)*11)/factor_trimestre," - ")),(IF(ISNUMBER(((Datos!L19/Datos!K19)*11)/factor_trimestre),((Datos!L19/Datos!K19)*11)/factor_trimestre," - ")))</f>
        <v>5.9191893278604422</v>
      </c>
      <c r="AP19" s="833" t="str">
        <f>IF(ISNUMBER(Datos!CI19/Datos!CJ19),Datos!CI19/Datos!CJ19," - ")</f>
        <v xml:space="preserve"> - </v>
      </c>
      <c r="AQ19" s="833">
        <f>IF(OR(ISNUMBER(FIND("01",Criterios!A8,1)),ISNUMBER(FIND("02",Criterios!A8,1)),ISNUMBER(FIND("03",Criterios!A8,1)),ISNUMBER(FIND("04",Criterios!A8,1))),(J19-Y19+K19)/(F19-K19),(I19-Y19+K19)/(F19-K19))</f>
        <v>-0.78463285389856174</v>
      </c>
      <c r="AR19" s="833">
        <f>IF(ISNUMBER((Datos!P19-Datos!Q19+O19)/(Datos!R19-Datos!P19+Datos!Q19-O19)),(Datos!P19-Datos!Q19+O19)/(Datos!R19-Datos!P19+Datos!Q19-O19)," - ")</f>
        <v>1.5058765915768855E-2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1046.6666666666667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1284.2889861709475</v>
      </c>
      <c r="G21" s="551">
        <f>IF(ISNUMBER(STDEV(G8:G18)),STDEV(G8:G18),"-")</f>
        <v>1299.4795368402945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263.71792289706599</v>
      </c>
      <c r="AK21" s="251"/>
      <c r="AL21" s="251">
        <f>IF(ISNUMBER(STDEV(AL8:AL18)),STDEV(AL8:AL18),"-")</f>
        <v>0</v>
      </c>
      <c r="AM21" s="253">
        <f>IF(ISNUMBER(STDEV(AM8:AM18)),STDEV(AM8:AM18),"-")</f>
        <v>0</v>
      </c>
      <c r="AN21" s="538">
        <f>IF(ISNUMBER(STDEV(AN8:AN18)),STDEV(AN8:AN18),"-")</f>
        <v>0</v>
      </c>
      <c r="AO21" s="539">
        <f>IF(ISNUMBER(STDEV(AO8:AO18)),STDEV(AO8:AO18),"-")</f>
        <v>3.7967990144726302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D8T522VbpbTHDjzvp5G4/1IIvGQ8lMseVol2cPE8VwUMwi2Y5+wXOcrurSswYlrbYotWS8urYmB6TMQ4Yy/JQ==" saltValue="lSXqYH/z0Er10AfjwLGE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0ucWE3N9xL46olTMnUlmb1XlNuzXfhh0B2mgZcoTY1tSrFwArKEsQ/7GnG322t22JcLZUrZSioFwk46ko1j2Q==" saltValue="dmSipllGOiGVPUBZ6lyH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Kjt4W751FbPZfMzQ+9znzyY40hzW25Y5GSGfa7DgNxID9eNMZm4Wy8NyF08Z3syGVMr+YjF02KhwsjAFpZFdg==" saltValue="9Wf6v9DM2qegnjkxZm7N5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TOLEDO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0.29029261495587555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0.20526787656367498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YiD9PUHfgHs5J0gl9egfHrtKusKVSzQhDEnwPg14ErwhbnYKMiB1Ygn5BaCNFRi5HW7KRw6Ko7b6ceB4FwZ1A==" saltValue="hzkjf24vIy4BLmTUZAWF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1CLnpCBumWyXRL622Q23EH6RXit7mJ5fEEToT8FxAhdIYDUP6nd6v45RbBqBaWvfCx1r/bKWFtbUAUeDix1XJw==" saltValue="C1RDzc/cECKwO8Gryqpz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TOLEDO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5232</v>
      </c>
      <c r="D9" s="403">
        <f>IF(ISNUMBER(C9/Datos!BH9),C9/Datos!BH9," - ")</f>
        <v>1046.4000000000001</v>
      </c>
      <c r="E9" s="402">
        <f>IF(ISNUMBER(IF(J_V="SI",Datos!J9,Datos!J9+Datos!Z9)),IF(J_V="SI",Datos!J9,Datos!J9+Datos!Z9)," - ")</f>
        <v>1739</v>
      </c>
      <c r="F9" s="403">
        <f>IF(ISNUMBER(E9/B9),E9/B9," - ")</f>
        <v>347.8</v>
      </c>
      <c r="G9" s="402">
        <f>IF(ISNUMBER(IF(J_V="SI",Datos!K9,Datos!K9+Datos!AA9)),IF(J_V="SI",Datos!K9,Datos!K9+Datos!AA9)," - ")</f>
        <v>2024</v>
      </c>
      <c r="H9" s="403">
        <f>IF(ISNUMBER(G9/B9),G9/B9," - ")</f>
        <v>404.8</v>
      </c>
      <c r="I9" s="402">
        <f>IF(ISNUMBER(IF(J_V="SI",Datos!L9,Datos!L9+Datos!AB9)),IF(J_V="SI",Datos!L9,Datos!L9+Datos!AB9)," - ")</f>
        <v>4559</v>
      </c>
      <c r="J9" s="403">
        <f>IF(ISNUMBER(I9/B9),I9/B9," - ")</f>
        <v>911.8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145</v>
      </c>
      <c r="D10" s="403">
        <f>IF(ISNUMBER(C10/Datos!BH10),C10/Datos!BH10," - ")</f>
        <v>72.5</v>
      </c>
      <c r="E10" s="402">
        <f>IF(ISNUMBER(Datos!J10),Datos!J10," - ")</f>
        <v>46</v>
      </c>
      <c r="F10" s="403">
        <f>IF(ISNUMBER(E10/B10),E10/B10," - ")</f>
        <v>23</v>
      </c>
      <c r="G10" s="402">
        <f>IF(ISNUMBER(Datos!K10),Datos!K10," - ")</f>
        <v>31</v>
      </c>
      <c r="H10" s="403">
        <f>IF(ISNUMBER(G10/B10),G10/B10," - ")</f>
        <v>15.5</v>
      </c>
      <c r="I10" s="402">
        <f>IF(ISNUMBER(Datos!L10),Datos!L10," - ")</f>
        <v>160</v>
      </c>
      <c r="J10" s="403">
        <f>IF(ISNUMBER(I10/B10),I10/B10," - ")</f>
        <v>80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64</v>
      </c>
      <c r="D12" s="403" t="str">
        <f>IF(ISNUMBER(C12/Datos!BH12),C12/Datos!BH12," - ")</f>
        <v xml:space="preserve"> - </v>
      </c>
      <c r="E12" s="402">
        <f>IF(ISNUMBER(IF(J_V="SI",Datos!J12,Datos!J12+Datos!Z12)),IF(J_V="SI",Datos!J12,Datos!J12+Datos!Z12)," - ")</f>
        <v>92</v>
      </c>
      <c r="F12" s="403" t="str">
        <f>IF(ISNUMBER(E12/B12),E12/B12," - ")</f>
        <v xml:space="preserve"> - </v>
      </c>
      <c r="G12" s="402">
        <f>IF(ISNUMBER(IF(J_V="SI",Datos!K12,Datos!K12+Datos!AA12)),IF(J_V="SI",Datos!K12,Datos!K12+Datos!AA12)," - ")</f>
        <v>98</v>
      </c>
      <c r="H12" s="403" t="str">
        <f>IF(ISNUMBER(G12/B12),G12/B12," - ")</f>
        <v xml:space="preserve"> - </v>
      </c>
      <c r="I12" s="402">
        <f>IF(ISNUMBER(IF(J_V="SI",Datos!L12,Datos!L12+Datos!AB12)),IF(J_V="SI",Datos!L12,Datos!L12+Datos!AB12)," - ")</f>
        <v>90</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5441</v>
      </c>
      <c r="D13" s="849" t="str">
        <f>IF(ISNUMBER(C13/Datos!BI13),C13/Datos!BI13," - ")</f>
        <v xml:space="preserve"> - </v>
      </c>
      <c r="E13" s="848">
        <f>SUBTOTAL(9,E8:E12)</f>
        <v>1877</v>
      </c>
      <c r="F13" s="849">
        <f>IF(ISNUMBER(E13/B13),E13/B13," - ")</f>
        <v>312.83333333333331</v>
      </c>
      <c r="G13" s="848">
        <f>SUBTOTAL(9,G8:G12)</f>
        <v>2153</v>
      </c>
      <c r="H13" s="849">
        <f>IF(ISNUMBER(G13/B13),G13/B13," - ")</f>
        <v>358.83333333333331</v>
      </c>
      <c r="I13" s="848">
        <f>SUBTOTAL(9,I8:I12)</f>
        <v>4809</v>
      </c>
      <c r="J13" s="849">
        <f>IF(ISNUMBER(I13/B13),I13/B13," - ")</f>
        <v>801.5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2389</v>
      </c>
      <c r="D15" s="403">
        <f>IF(ISNUMBER(C15/Datos!BH15),C15/Datos!BH15," - ")</f>
        <v>796.33333333333337</v>
      </c>
      <c r="E15" s="402">
        <f>IF(ISNUMBER(IF(D_I="SI",Datos!J15,Datos!J15+Datos!AD15)),IF(D_I="SI",Datos!J15,Datos!J15+Datos!AD15)," - ")</f>
        <v>1882</v>
      </c>
      <c r="F15" s="403">
        <f>IF(ISNUMBER(E15/B15),E15/B15," - ")</f>
        <v>627.33333333333337</v>
      </c>
      <c r="G15" s="402">
        <f>IF(ISNUMBER(IF(D_I="SI",Datos!K15,Datos!K15+Datos!AE15)),IF(D_I="SI",Datos!K15,Datos!K15+Datos!AE15)," - ")</f>
        <v>1707</v>
      </c>
      <c r="H15" s="403">
        <f>IF(ISNUMBER(G15/B15),G15/B15," - ")</f>
        <v>569</v>
      </c>
      <c r="I15" s="402">
        <f>IF(ISNUMBER(IF(D_I="SI",Datos!L15,Datos!L15+Datos!AF15)),IF(D_I="SI",Datos!L15,Datos!L15+Datos!AF15)," - ")</f>
        <v>2604</v>
      </c>
      <c r="J15" s="403">
        <f>IF(ISNUMBER(I15/B15),I15/B15," - ")</f>
        <v>868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65</v>
      </c>
      <c r="D16" s="403" t="str">
        <f>IF(ISNUMBER(C16/Datos!BH16),C16/Datos!BH16," - ")</f>
        <v xml:space="preserve"> - </v>
      </c>
      <c r="E16" s="402">
        <f>IF(ISNUMBER(IF(D_I="SI",Datos!J16,Datos!J16+Datos!AD16)),IF(D_I="SI",Datos!J16,Datos!J16+Datos!AD16)," - ")</f>
        <v>4</v>
      </c>
      <c r="F16" s="403" t="str">
        <f>IF(ISNUMBER(E16/B16),E16/B16," - ")</f>
        <v xml:space="preserve"> - </v>
      </c>
      <c r="G16" s="402">
        <f>IF(ISNUMBER(IF(D_I="SI",Datos!K16,Datos!K16+Datos!AE16)),IF(D_I="SI",Datos!K16,Datos!K16+Datos!AE16)," - ")</f>
        <v>23</v>
      </c>
      <c r="H16" s="403" t="str">
        <f>IF(ISNUMBER(G16/B16),G16/B16," - ")</f>
        <v xml:space="preserve"> - </v>
      </c>
      <c r="I16" s="402">
        <f>IF(ISNUMBER(IF(D_I="SI",Datos!L16,Datos!L16+Datos!AF16)),IF(D_I="SI",Datos!L16,Datos!L16+Datos!AF16)," - ")</f>
        <v>49</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541</v>
      </c>
      <c r="D17" s="403">
        <f>IF(ISNUMBER(C17/Datos!BH17),C17/Datos!BH17," - ")</f>
        <v>270.5</v>
      </c>
      <c r="E17" s="402">
        <f>IF(ISNUMBER(IF(D_I="SI",Datos!J17,Datos!J17+Datos!AD17)),IF(D_I="SI",Datos!J17,Datos!J17+Datos!AD17)," - ")</f>
        <v>417</v>
      </c>
      <c r="F17" s="403">
        <f>IF(ISNUMBER(E17/B17),E17/B17," - ")</f>
        <v>208.5</v>
      </c>
      <c r="G17" s="402">
        <f>IF(ISNUMBER(IF(D_I="SI",Datos!K17,Datos!K17+Datos!AE17)),IF(D_I="SI",Datos!K17,Datos!K17+Datos!AE17)," - ")</f>
        <v>312</v>
      </c>
      <c r="H17" s="403">
        <f>IF(ISNUMBER(G17/B17),G17/B17," - ")</f>
        <v>156</v>
      </c>
      <c r="I17" s="402">
        <f>IF(ISNUMBER(IF(D_I="SI",Datos!L17,Datos!L17+Datos!AF17)),IF(D_I="SI",Datos!L17,Datos!L17+Datos!AF17)," - ")</f>
        <v>652</v>
      </c>
      <c r="J17" s="403">
        <f>IF(ISNUMBER(I17/B17),I17/B17," - ")</f>
        <v>326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2995</v>
      </c>
      <c r="D18" s="849" t="str">
        <f>IF(ISNUMBER(C18/Datos!BI18),C18/Datos!BI18," - ")</f>
        <v xml:space="preserve"> - </v>
      </c>
      <c r="E18" s="848">
        <f>SUBTOTAL(9,E14:E17)</f>
        <v>2303</v>
      </c>
      <c r="F18" s="849">
        <f>IF(ISNUMBER(E18/B18),E18/B18," - ")</f>
        <v>575.75</v>
      </c>
      <c r="G18" s="848">
        <f>SUBTOTAL(9,G14:G17)</f>
        <v>2042</v>
      </c>
      <c r="H18" s="849">
        <f>IF(ISNUMBER(G18/B18),G18/B18," - ")</f>
        <v>510.5</v>
      </c>
      <c r="I18" s="848">
        <f>SUBTOTAL(9,I14:I17)</f>
        <v>3305</v>
      </c>
      <c r="J18" s="849">
        <f>IF(ISNUMBER(I18/B18),I18/B18," - ")</f>
        <v>826.25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8436</v>
      </c>
      <c r="D19" s="794" t="str">
        <f>IF(ISNUMBER(C19/Datos!BI19),C19/Datos!BI19," - ")</f>
        <v xml:space="preserve"> - </v>
      </c>
      <c r="E19" s="793">
        <f>SUBTOTAL(9,E9:E18)</f>
        <v>4180</v>
      </c>
      <c r="F19" s="794">
        <f>IF(ISNUMBER(E19/B19),E19/B19," - ")</f>
        <v>464.44444444444446</v>
      </c>
      <c r="G19" s="793">
        <f>SUBTOTAL(9,G9:G18)</f>
        <v>4195</v>
      </c>
      <c r="H19" s="794">
        <f>IF(ISNUMBER(G19/B19),G19/B19," - ")</f>
        <v>466.11111111111109</v>
      </c>
      <c r="I19" s="793">
        <f>SUBTOTAL(9,I9:I18)</f>
        <v>8114</v>
      </c>
      <c r="J19" s="794">
        <f>IF(ISNUMBER(I19/B19),I19/B19," - ")</f>
        <v>901.55555555555554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7p01zfzzS2AnQs5OjHBQg8n5+d2y9NAYnPgTT8vLbDmgbbYZ8z9RuWlG1hf2edYI18RSgbxg85ROYmwYz8F5WQ==" saltValue="FMy6J423pMqnqexAjca51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TOLEDO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145</v>
      </c>
      <c r="G10" s="683">
        <f>IF(ISNUMBER(Datos!I10),Datos!I10," - ")</f>
        <v>145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31</v>
      </c>
      <c r="AC10" s="682" t="str">
        <f>IF(ISNUMBER(IF(D_I="SI",DatosP!K17,DatosP!K17+DatosP!AE17)),IF(D_I="SI",DatosP!K17,DatosP!K17+DatosP!AE17)," - ")</f>
        <v xml:space="preserve"> - </v>
      </c>
      <c r="AD10" s="684"/>
      <c r="AE10" s="684"/>
      <c r="AF10" s="687">
        <f>IF(ISNUMBER(Datos!L10),Datos!L10,"-")</f>
        <v>160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20</v>
      </c>
      <c r="AN10" s="689">
        <f>IF(ISNUMBER(Datos!BW10+DatosP!BW17),Datos!BW10+DatosP!BW17," - ")</f>
        <v>0</v>
      </c>
      <c r="AO10" s="690">
        <f>IF(ISNUMBER(Datos!BX10+DatosP!BX17),Datos!BX10+DatosP!BX17," - ")</f>
        <v>0</v>
      </c>
      <c r="AP10" s="692">
        <f>IF(ISNUMBER(((Datos!L10/Datos!K10)*11)/factor_trimestre),((Datos!L10/Datos!K10)*11)/factor_trimestre," - ")</f>
        <v>15.483870967741936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v>
      </c>
      <c r="AM12" s="689">
        <f>IF(ISNUMBER(Datos!N12+DatosP!N16),Datos!N12+DatosP!N16," - ")</f>
        <v>48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2.7551020408163267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-3.7499999999999999E-2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145</v>
      </c>
      <c r="G13" s="937">
        <f t="shared" si="0"/>
        <v>145</v>
      </c>
      <c r="H13" s="937">
        <f t="shared" si="0"/>
        <v>0</v>
      </c>
      <c r="I13" s="939">
        <f t="shared" si="0"/>
        <v>0</v>
      </c>
      <c r="J13" s="938">
        <f t="shared" si="0"/>
        <v>0</v>
      </c>
      <c r="K13" s="938">
        <f t="shared" si="0"/>
        <v>0</v>
      </c>
      <c r="L13" s="940">
        <f t="shared" si="0"/>
        <v>0</v>
      </c>
      <c r="M13" s="940">
        <f t="shared" si="0"/>
        <v>0</v>
      </c>
      <c r="N13" s="938">
        <f t="shared" si="0"/>
        <v>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31</v>
      </c>
      <c r="AC13" s="938">
        <f t="shared" si="1"/>
        <v>0</v>
      </c>
      <c r="AD13" s="938">
        <f t="shared" si="1"/>
        <v>45</v>
      </c>
      <c r="AE13" s="938">
        <f t="shared" si="1"/>
        <v>0</v>
      </c>
      <c r="AF13" s="938">
        <f t="shared" si="1"/>
        <v>160</v>
      </c>
      <c r="AG13" s="938">
        <f t="shared" si="1"/>
        <v>0</v>
      </c>
      <c r="AH13" s="938">
        <f t="shared" si="1"/>
        <v>1155</v>
      </c>
      <c r="AI13" s="938">
        <f t="shared" si="1"/>
        <v>0</v>
      </c>
      <c r="AJ13" s="938">
        <f t="shared" si="1"/>
        <v>0</v>
      </c>
      <c r="AK13" s="938">
        <f t="shared" si="1"/>
        <v>0</v>
      </c>
      <c r="AL13" s="938">
        <f t="shared" si="1"/>
        <v>13</v>
      </c>
      <c r="AM13" s="938">
        <f t="shared" si="1"/>
        <v>68</v>
      </c>
      <c r="AN13" s="938">
        <f t="shared" si="1"/>
        <v>0</v>
      </c>
      <c r="AO13" s="938">
        <f t="shared" si="1"/>
        <v>0</v>
      </c>
      <c r="AP13" s="943">
        <f>IF(ISNUMBER(((Datos!L13/Datos!K13)*11)/factor_trimestre),((Datos!L13/Datos!K13)*11)/factor_trimestre," - ")</f>
        <v>7.0894396551724137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-0.21379310344827587</v>
      </c>
      <c r="AU13" s="938" t="str">
        <f>IF(ISNUMBER((DatosP!#REF!-DatosP!#REF!+DatosP!#REF!)/(DatosP!#REF!+DatosP!#REF!-DatosP!#REF!-DatosP!#REF!)),(DatosP!#REF!-DatosP!#REF!+DatosP!#REF!)/(DatosP!#REF!+DatosP!#REF!-DatosP!#REF!-DatosP!#REF!)," - ")</f>
        <v xml:space="preserve"> - </v>
      </c>
      <c r="AV13" s="944">
        <f>SUBTOTAL(9,AV9:AV12)</f>
        <v>-3.7499999999999999E-2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4.8555337904015676</v>
      </c>
      <c r="AQ18" s="943">
        <f>IF(ISNUMBER(((Datos!M18/Datos!L18)*11)/factor_trimestre),((Datos!M18/Datos!L18)*11)/factor_trimestre," - ")</f>
        <v>0.2260211800302572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-0.2558139534883721</v>
      </c>
      <c r="AW18" s="945">
        <f>IF(ISNUMBER((Datos!Q18-Datos!R18)/(Datos!S18-Datos!Q18+Datos!R18)),(Datos!Q18-Datos!R18)/(Datos!S18-Datos!Q18+Datos!R18)," - ")</f>
        <v>-1.8003273322422259E-2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145</v>
      </c>
      <c r="G19" s="950">
        <f t="shared" si="4"/>
        <v>145</v>
      </c>
      <c r="H19" s="950">
        <f t="shared" si="4"/>
        <v>0</v>
      </c>
      <c r="I19" s="951">
        <f t="shared" si="4"/>
        <v>0</v>
      </c>
      <c r="J19" s="952">
        <f t="shared" si="4"/>
        <v>0</v>
      </c>
      <c r="K19" s="952">
        <f t="shared" si="4"/>
        <v>0</v>
      </c>
      <c r="L19" s="952">
        <f t="shared" si="4"/>
        <v>0</v>
      </c>
      <c r="M19" s="952">
        <f t="shared" si="4"/>
        <v>0</v>
      </c>
      <c r="N19" s="951">
        <f t="shared" si="4"/>
        <v>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31</v>
      </c>
      <c r="AC19" s="956">
        <f t="shared" si="5"/>
        <v>0</v>
      </c>
      <c r="AD19" s="956">
        <f t="shared" si="5"/>
        <v>45</v>
      </c>
      <c r="AE19" s="956">
        <f t="shared" si="5"/>
        <v>0</v>
      </c>
      <c r="AF19" s="957">
        <f t="shared" si="5"/>
        <v>160</v>
      </c>
      <c r="AG19" s="957">
        <f t="shared" si="5"/>
        <v>0</v>
      </c>
      <c r="AH19" s="957">
        <f t="shared" si="5"/>
        <v>1155</v>
      </c>
      <c r="AI19" s="957">
        <f t="shared" si="5"/>
        <v>0</v>
      </c>
      <c r="AJ19" s="958">
        <f t="shared" si="5"/>
        <v>0</v>
      </c>
      <c r="AK19" s="958">
        <f t="shared" si="5"/>
        <v>0</v>
      </c>
      <c r="AL19" s="950">
        <f t="shared" si="5"/>
        <v>13</v>
      </c>
      <c r="AM19" s="950">
        <f t="shared" si="5"/>
        <v>68</v>
      </c>
      <c r="AN19" s="950">
        <f t="shared" si="5"/>
        <v>0</v>
      </c>
      <c r="AO19" s="950">
        <f t="shared" si="5"/>
        <v>0</v>
      </c>
      <c r="AP19" s="950">
        <f>IF(ISNUMBER(((Datos!L19/Datos!K19)*11)/factor_trimestre),((Datos!L19/Datos!K19)*11)/factor_trimestre," - ")</f>
        <v>5.9191893278604422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-0.21379310344827587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1.5058765915768855E-2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96.666666666666671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83.715789032495735</v>
      </c>
      <c r="G21" s="736">
        <f>IF(ISNUMBER(STDEV(G8:G18)),STDEV(G8:G18),"-")</f>
        <v>83.715789032495735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17.897858344878401</v>
      </c>
      <c r="AC21" s="737">
        <f>IF(ISNUMBER(STDEV(AC8:AC18)),STDEV(AC8:AC18),"-")</f>
        <v>0</v>
      </c>
      <c r="AD21" s="740"/>
      <c r="AE21" s="740"/>
      <c r="AF21" s="740"/>
      <c r="AG21" s="740"/>
      <c r="AH21" s="740"/>
      <c r="AI21" s="740"/>
      <c r="AJ21" s="741">
        <f>IF(ISNUMBER(STDEV(AJ8:AJ18)),STDEV(AJ8:AJ18),"-")</f>
        <v>0</v>
      </c>
      <c r="AK21" s="743"/>
      <c r="AL21" s="735">
        <f>IF(ISNUMBER(STDEV(AL8:AL18)),STDEV(AL8:AL18),"-")</f>
        <v>5.3229064742237702</v>
      </c>
      <c r="AM21" s="735"/>
      <c r="AN21" s="735">
        <f>IF(ISNUMBER(STDEV(AN8:AN18)),STDEV(AN8:AN18),"-")</f>
        <v>0</v>
      </c>
      <c r="AO21" s="741">
        <f>IF(ISNUMBER(STDEV(AO8:AO18)),STDEV(AO8:AO18),"-")</f>
        <v>0</v>
      </c>
      <c r="AP21" s="778">
        <f>IF(ISNUMBER(STDEV(AP8:AP18)),STDEV(AP8:AP18),"-")</f>
        <v>5.5800105892544059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6q/Xsf3Ym/Pezrm6KVQF9MX/ZQpEdRrfylgIdEtNZ94E8tIMYGGLzcehWGNTW0KRChAP/zZyPKq/RHqHlXqt/g==" saltValue="fcoio30+LC+j/wG1lGVR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TOLEDO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7qeAeJyeb+UJOAr70lYOs3kHq/GFf2lmOZ5PQTY72Rj3RIqOIF3W51eP8lL+rfEpgwDP6CHfchxNv7jkSSZs6w==" saltValue="SoaaOHue+vFb519DJuGN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TOLEDO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612</v>
      </c>
      <c r="E9" s="403">
        <f t="shared" ref="E9:E13" si="0">IF(ISNUMBER(D9/B9),D9/B9," - ")</f>
        <v>122.4</v>
      </c>
      <c r="F9" s="402">
        <f>IF(ISNUMBER(Datos!N9),Datos!N9," - ")</f>
        <v>659</v>
      </c>
      <c r="G9" s="403">
        <f t="shared" ref="G9:G13" si="1">IF(ISNUMBER(F9/B9),F9/B9," - ")</f>
        <v>131.80000000000001</v>
      </c>
      <c r="H9" s="402">
        <f>IF(ISNUMBER(Datos!O9),Datos!O9," - ")</f>
        <v>790</v>
      </c>
      <c r="I9" s="403">
        <f>IF(ISNUMBER(H9/B9),H9/B9," - ")</f>
        <v>158</v>
      </c>
      <c r="BZ9" s="1185">
        <f>Datos!EZ9</f>
        <v>0</v>
      </c>
    </row>
    <row r="10" spans="1:78">
      <c r="A10" s="401" t="str">
        <f>Datos!A10</f>
        <v>Jdos. Violencia contra la mujer/Secc Viol. TI.</v>
      </c>
      <c r="B10" s="426">
        <f>Datos!AO10</f>
        <v>2</v>
      </c>
      <c r="C10" s="409">
        <f>Datos!AQ10</f>
        <v>1</v>
      </c>
      <c r="D10" s="402">
        <f>IF(ISNUMBER(Datos!M10),Datos!M10," - ")</f>
        <v>6</v>
      </c>
      <c r="E10" s="403">
        <f>IF(ISNUMBER(D10/B10),D10/B10," - ")</f>
        <v>3</v>
      </c>
      <c r="F10" s="402">
        <f>IF(ISNUMBER(Datos!N10),Datos!N10," - ")</f>
        <v>20</v>
      </c>
      <c r="G10" s="403">
        <f>IF(ISNUMBER(F10/B10),F10/B10," - ")</f>
        <v>10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f>IF(ISNUMBER(Datos!M12),Datos!M12," - ")</f>
        <v>7</v>
      </c>
      <c r="E12" s="403" t="str">
        <f t="shared" si="0"/>
        <v xml:space="preserve"> - </v>
      </c>
      <c r="F12" s="402">
        <f>IF(ISNUMBER(Datos!N12),Datos!N12," - ")</f>
        <v>48</v>
      </c>
      <c r="G12" s="403" t="str">
        <f t="shared" si="1"/>
        <v xml:space="preserve"> - </v>
      </c>
      <c r="H12" s="402">
        <f>IF(ISNUMBER(Datos!O12),Datos!O12," - ")</f>
        <v>6</v>
      </c>
      <c r="I12" s="403" t="str">
        <f t="shared" si="2"/>
        <v xml:space="preserve"> - </v>
      </c>
      <c r="BZ12" s="1185">
        <f>Datos!EZ12</f>
        <v>0</v>
      </c>
    </row>
    <row r="13" spans="1:78" ht="14.25" thickTop="1" thickBot="1">
      <c r="A13" s="847" t="str">
        <f>Datos!A13</f>
        <v>TOTAL</v>
      </c>
      <c r="B13" s="848">
        <f>Datos!AP13</f>
        <v>6</v>
      </c>
      <c r="C13" s="850">
        <f>Datos!AR13</f>
        <v>6</v>
      </c>
      <c r="D13" s="848">
        <f>SUBTOTAL(9,D9:D12)</f>
        <v>625</v>
      </c>
      <c r="E13" s="849">
        <f t="shared" si="0"/>
        <v>104.16666666666667</v>
      </c>
      <c r="F13" s="848">
        <f>SUBTOTAL(9,F9:F12)</f>
        <v>727</v>
      </c>
      <c r="G13" s="849">
        <f t="shared" si="1"/>
        <v>121.16666666666667</v>
      </c>
      <c r="H13" s="848">
        <f>SUBTOTAL(9,H9:H12)</f>
        <v>796</v>
      </c>
      <c r="I13" s="849">
        <f>IF(ISNUMBER(H13/B13),H13/B13," - ")</f>
        <v>132.66666666666666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197</v>
      </c>
      <c r="E15" s="403">
        <f t="shared" ref="E15:E18" si="3">IF(ISNUMBER(D15/B15),D15/B15," - ")</f>
        <v>65.666666666666671</v>
      </c>
      <c r="F15" s="402">
        <f>IF(ISNUMBER(Datos!N15),Datos!N15," - ")</f>
        <v>1214</v>
      </c>
      <c r="G15" s="403">
        <f t="shared" ref="G15:G18" si="4">IF(ISNUMBER(F15/B15),F15/B15," - ")</f>
        <v>404.66666666666669</v>
      </c>
      <c r="H15" s="402">
        <f>IF(ISNUMBER(Datos!O15),Datos!O15," - ")</f>
        <v>24</v>
      </c>
      <c r="I15" s="403">
        <f t="shared" ref="I15:I17" si="5">IF(ISNUMBER(H15/B15),H15/B15," - ")</f>
        <v>8</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4</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52</v>
      </c>
      <c r="E17" s="403">
        <f>IF(ISNUMBER(D17/B17),D17/B17," - ")</f>
        <v>26</v>
      </c>
      <c r="F17" s="402">
        <f>IF(ISNUMBER(Datos!N17),Datos!N17," - ")</f>
        <v>207</v>
      </c>
      <c r="G17" s="403">
        <f>IF(ISNUMBER(F17/B17),F17/B17," - ")</f>
        <v>103.5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249</v>
      </c>
      <c r="E18" s="849">
        <f t="shared" si="3"/>
        <v>62.25</v>
      </c>
      <c r="F18" s="848">
        <f>SUBTOTAL(9,F15:F17)</f>
        <v>1425</v>
      </c>
      <c r="G18" s="849">
        <f t="shared" si="4"/>
        <v>356.25</v>
      </c>
      <c r="H18" s="848">
        <f>SUBTOTAL(9,H15:H17)</f>
        <v>24</v>
      </c>
      <c r="I18" s="849">
        <f>IF(ISNUMBER(H18/B18),H18/B18," - ")</f>
        <v>6</v>
      </c>
      <c r="BZ18" s="1185"/>
    </row>
    <row r="19" spans="1:78" ht="14.25" thickTop="1" thickBot="1">
      <c r="A19" s="792" t="str">
        <f>Datos!A19</f>
        <v>TOTAL JURISDICCIONES</v>
      </c>
      <c r="B19" s="793">
        <f>Datos!AP19</f>
        <v>9</v>
      </c>
      <c r="C19" s="793">
        <f>Datos!AR19</f>
        <v>9</v>
      </c>
      <c r="D19" s="793">
        <f>SUBTOTAL(9,D8:D18)</f>
        <v>874</v>
      </c>
      <c r="E19" s="794">
        <f>IF(ISNUMBER(D19/B19),D19/B19," - ")</f>
        <v>97.111111111111114</v>
      </c>
      <c r="F19" s="793">
        <f>SUBTOTAL(9,F8:F18)</f>
        <v>2152</v>
      </c>
      <c r="G19" s="794">
        <f>IF(ISNUMBER(F19/B19),F19/B19," - ")</f>
        <v>239.11111111111111</v>
      </c>
      <c r="H19" s="793">
        <f>SUBTOTAL(9,H8:H18)</f>
        <v>820</v>
      </c>
      <c r="I19" s="794">
        <f>IF(ISNUMBER(H19/B19),H19/B19," - ")</f>
        <v>91.111111111111114</v>
      </c>
    </row>
    <row r="22" spans="1:78">
      <c r="A22" s="390" t="str">
        <f>Criterios!A4</f>
        <v>Fecha Informe: 17 mar. 2026</v>
      </c>
    </row>
    <row r="27" spans="1:78">
      <c r="A27" s="413"/>
    </row>
  </sheetData>
  <sheetProtection algorithmName="SHA-512" hashValue="KaO4phPLQRYiUbzqjJcP6bK73cRyw3ya/hLsehShAgPq+CBP3ryB1O6OoB+sjal9+BhIpZ5pAITPG3GUn4kFfw==" saltValue="tZHhNOjhKnnUdaC1MsbC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TOLEDO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589</v>
      </c>
      <c r="C9" s="433">
        <f>IF(ISNUMBER(Datos!Q9),Datos!Q9," - ")</f>
        <v>349</v>
      </c>
      <c r="D9" s="407">
        <f>IF(ISNUMBER(Datos!R9),Datos!R9," - ")</f>
        <v>6879</v>
      </c>
    </row>
    <row r="10" spans="1:4">
      <c r="A10" s="401" t="str">
        <f>Datos!A10</f>
        <v>Jdos. Violencia contra la mujer/Secc Viol. TI.</v>
      </c>
      <c r="B10" s="432">
        <f>IF(ISNUMBER(Datos!P10),Datos!P10," - ")</f>
        <v>5</v>
      </c>
      <c r="C10" s="433">
        <f>IF(ISNUMBER(Datos!Q10),Datos!Q10," - ")</f>
        <v>0</v>
      </c>
      <c r="D10" s="407">
        <f>IF(ISNUMBER(Datos!R10),Datos!R10," - ")</f>
        <v>33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0</v>
      </c>
      <c r="C12" s="433">
        <f>IF(ISNUMBER(Datos!Q12),Datos!Q12," - ")</f>
        <v>45</v>
      </c>
      <c r="D12" s="407">
        <f>IF(ISNUMBER(Datos!R12),Datos!R12," - ")</f>
        <v>1155</v>
      </c>
    </row>
    <row r="13" spans="1:4" ht="14.25" thickTop="1" thickBot="1">
      <c r="A13" s="847" t="str">
        <f>Datos!A13</f>
        <v>TOTAL</v>
      </c>
      <c r="B13" s="848">
        <f>SUBTOTAL(9,B9:B12)</f>
        <v>594</v>
      </c>
      <c r="C13" s="852">
        <f>SUBTOTAL(9,C9:C12)</f>
        <v>394</v>
      </c>
      <c r="D13" s="850">
        <f>SUBTOTAL(9,D9:D12)</f>
        <v>8067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89</v>
      </c>
      <c r="C15" s="433">
        <f>IF(ISNUMBER(Datos!Q15),Datos!Q15," - ")</f>
        <v>138</v>
      </c>
      <c r="D15" s="407">
        <f>IF(ISNUMBER(Datos!R15),Datos!R15," - ")</f>
        <v>142</v>
      </c>
    </row>
    <row r="16" spans="1:4">
      <c r="A16" s="401" t="str">
        <f>Datos!A16</f>
        <v xml:space="preserve">Jdos. 1ª Instª. e Instr./Secc. Civil y de Inst. TI                      </v>
      </c>
      <c r="B16" s="432">
        <f>IF(ISNUMBER(Datos!P16),Datos!P16," - ")</f>
        <v>0</v>
      </c>
      <c r="C16" s="433">
        <f>IF(ISNUMBER(Datos!Q16),Datos!Q16," - ")</f>
        <v>22</v>
      </c>
      <c r="D16" s="407">
        <f>IF(ISNUMBER(Datos!R16),Datos!R16," - ")</f>
        <v>61</v>
      </c>
    </row>
    <row r="17" spans="1:4" ht="13.5" thickBot="1">
      <c r="A17" s="401" t="str">
        <f>Datos!A17</f>
        <v>Jdos. Violencia contra la mujer/Secc Viol. TI.</v>
      </c>
      <c r="B17" s="432">
        <f>IF(ISNUMBER(Datos!P17),Datos!P17," - ")</f>
        <v>3</v>
      </c>
      <c r="C17" s="433">
        <f>IF(ISNUMBER(Datos!Q17),Datos!Q17," - ")</f>
        <v>9</v>
      </c>
      <c r="D17" s="407">
        <f>IF(ISNUMBER(Datos!R17),Datos!R17," - ")</f>
        <v>21</v>
      </c>
    </row>
    <row r="18" spans="1:4" ht="14.25" thickTop="1" thickBot="1">
      <c r="A18" s="847" t="str">
        <f>Datos!A18</f>
        <v>TOTAL</v>
      </c>
      <c r="B18" s="848">
        <f>SUBTOTAL(9,B15:B17)</f>
        <v>92</v>
      </c>
      <c r="C18" s="852">
        <f>SUBTOTAL(9,C15:C17)</f>
        <v>169</v>
      </c>
      <c r="D18" s="850">
        <f>SUBTOTAL(9,D15:D17)</f>
        <v>224</v>
      </c>
    </row>
    <row r="19" spans="1:4" ht="16.5" customHeight="1" thickTop="1" thickBot="1">
      <c r="A19" s="792" t="str">
        <f>Datos!A19</f>
        <v>TOTAL JURISDICCIONES</v>
      </c>
      <c r="B19" s="797">
        <f>SUBTOTAL(9,B8:B18)</f>
        <v>686</v>
      </c>
      <c r="C19" s="798">
        <f>SUBTOTAL(9,C8:C18)</f>
        <v>563</v>
      </c>
      <c r="D19" s="799">
        <f>SUBTOTAL(9,D8:D18)</f>
        <v>8291</v>
      </c>
    </row>
    <row r="20" spans="1:4" ht="7.5" customHeight="1"/>
    <row r="21" spans="1:4" ht="6" customHeight="1"/>
    <row r="22" spans="1:4">
      <c r="A22" s="390" t="str">
        <f>Criterios!A4</f>
        <v>Fecha Informe: 17 mar. 2026</v>
      </c>
    </row>
    <row r="27" spans="1:4">
      <c r="A27" s="413"/>
    </row>
  </sheetData>
  <sheetProtection algorithmName="SHA-512" hashValue="sfUgLMKvHhj7l6phbu9eHflmUx/0jTt4V/A0NIg44qoseM1naeC4750bE+0q3+4M/bM2XDa2vwAQRWBLTH5R+Q==" saltValue="kqoDyNcDpGoo0RQUi+nb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TOLEDO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-0.29306850425618158</v>
      </c>
      <c r="C9" s="455">
        <f>IF(ISNUMBER(
   IF(J_V="SI",(Datos!J9-Datos!T9)/Datos!T9,(Datos!J9+Datos!Z9-(Datos!T9+Datos!AH9))/(Datos!T9+Datos!AH9))
     ),IF(J_V="SI",(Datos!J9-Datos!T9)/Datos!T9,(Datos!J9+Datos!Z9-(Datos!T9+Datos!AH9))/(Datos!T9+Datos!AH9))," - ")</f>
        <v>-0.35280982508373648</v>
      </c>
      <c r="D9" s="455">
        <f>IF(ISNUMBER(
   IF(J_V="SI",(Datos!K9-Datos!U9)/Datos!U9,(Datos!K9+Datos!AA9-(Datos!U9+Datos!AI9))/(Datos!U9+Datos!AI9))
     ),IF(J_V="SI",(Datos!K9-Datos!U9)/Datos!U9,(Datos!K9+Datos!AA9-(Datos!U9+Datos!AI9))/(Datos!U9+Datos!AI9))," - ")</f>
        <v>-0.44150110375275936</v>
      </c>
      <c r="E9" s="455">
        <f>IF(ISNUMBER(
   IF(J_V="SI",(Datos!L9-Datos!V9)/Datos!V9,(Datos!L9+Datos!AB9-(Datos!V9+Datos!AJ9))/(Datos!V9+Datos!AJ9))
     ),IF(J_V="SI",(Datos!L9-Datos!V9)/Datos!V9,(Datos!L9+Datos!AB9-(Datos!V9+Datos!AJ9))/(Datos!V9+Datos!AJ9))," - ")</f>
        <v>-0.2670418006430868</v>
      </c>
      <c r="F9" s="455">
        <f>IF(ISNUMBER((Datos!M9-Datos!W9)/Datos!W9),(Datos!M9-Datos!W9)/Datos!W9," - ")</f>
        <v>-0.58508474576271186</v>
      </c>
      <c r="G9" s="456">
        <f>IF(ISNUMBER((Datos!N9-Datos!X9)/Datos!X9),(Datos!N9-Datos!X9)/Datos!X9," - ")</f>
        <v>-0.4377133105802048</v>
      </c>
      <c r="H9" s="454">
        <f>IF(ISNUMBER(((NºAsuntos!G9/NºAsuntos!E9)-Datos!BD9)/Datos!BD9),((NºAsuntos!G9/NºAsuntos!E9)-Datos!BD9)/Datos!BD9," - ")</f>
        <v>-0.13704052086467181</v>
      </c>
      <c r="I9" s="455">
        <f>IF(ISNUMBER(((NºAsuntos!I9/NºAsuntos!G9)-Datos!BE9)/Datos!BE9),((NºAsuntos!I9/NºAsuntos!G9)-Datos!BE9)/Datos!BE9," - ")</f>
        <v>0.31237179568648871</v>
      </c>
      <c r="J9" s="460">
        <f>IF(ISNUMBER((('Resol  Asuntos'!D9/NºAsuntos!G9)-Datos!BF9)/Datos!BF9),(('Resol  Asuntos'!D9/NºAsuntos!G9)-Datos!BF9)/Datos!BF9," - ")</f>
        <v>-6.5021786345424909E-2</v>
      </c>
      <c r="K9" s="461">
        <f>IF(ISNUMBER((((NºAsuntos!C9+NºAsuntos!E9)/NºAsuntos!G9)-Datos!BG9)/Datos!BG9),(((NºAsuntos!C9+NºAsuntos!E9)/NºAsuntos!G9)-Datos!BG9)/Datos!BG9," - ")</f>
        <v>0.23727913726793157</v>
      </c>
    </row>
    <row r="10" spans="1:11" ht="21">
      <c r="A10" s="401" t="str">
        <f>Datos!A10</f>
        <v>Jdos. Violencia contra la mujer/Secc Viol. TI.</v>
      </c>
      <c r="B10" s="454">
        <f>IF(ISNUMBER((Datos!I10-Datos!S10)/Datos!S10),(Datos!I10-Datos!S10)/Datos!S10," - ")</f>
        <v>0.68604651162790697</v>
      </c>
      <c r="C10" s="455">
        <f>IF(ISNUMBER((Datos!J10-Datos!T10)/Datos!T10),(Datos!J10-Datos!T10)/Datos!T10," - ")</f>
        <v>-0.08</v>
      </c>
      <c r="D10" s="455">
        <f>IF(ISNUMBER((Datos!K10-Datos!U10)/Datos!U10),(Datos!K10-Datos!U10)/Datos!U10," - ")</f>
        <v>0.29166666666666669</v>
      </c>
      <c r="E10" s="455">
        <f>IF(ISNUMBER((Datos!L10-Datos!V10)/Datos!V10),(Datos!L10-Datos!V10)/Datos!V10," - ")</f>
        <v>0.42857142857142855</v>
      </c>
      <c r="F10" s="455">
        <f>IF(ISNUMBER((Datos!M10-Datos!W10)/Datos!W10),(Datos!M10-Datos!W10)/Datos!W10," - ")</f>
        <v>-0.14285714285714285</v>
      </c>
      <c r="G10" s="456">
        <f>IF(ISNUMBER((Datos!N10-Datos!X10)/Datos!X10),(Datos!N10-Datos!X10)/Datos!X10," - ")</f>
        <v>1.5</v>
      </c>
      <c r="H10" s="454">
        <f>IF(ISNUMBER(((NºAsuntos!G10/NºAsuntos!E10)-Datos!BD10)/Datos!BD10),((NºAsuntos!G10/NºAsuntos!E10)-Datos!BD10)/Datos!BD10," - ")</f>
        <v>0.40398550724637683</v>
      </c>
      <c r="I10" s="455">
        <f>IF(ISNUMBER(((NºAsuntos!I10/NºAsuntos!G10)-Datos!BE10)/Datos!BE10),((NºAsuntos!I10/NºAsuntos!G10)-Datos!BE10)/Datos!BE10," - ")</f>
        <v>0.10599078341013815</v>
      </c>
      <c r="J10" s="460">
        <f>IF(ISNUMBER((('Resol  Asuntos'!D10/NºAsuntos!G10)-Datos!BF10)/Datos!BF10),(('Resol  Asuntos'!D10/NºAsuntos!G10)-Datos!BF10)/Datos!BF10," - ")</f>
        <v>-0.33640552995391709</v>
      </c>
      <c r="K10" s="461">
        <f>IF(ISNUMBER((((NºAsuntos!C10+NºAsuntos!E10)/NºAsuntos!G10)-Datos!BG10)/Datos!BG10),(((NºAsuntos!C10+NºAsuntos!E10)/NºAsuntos!G10)-Datos!BG10)/Datos!BG10," - ")</f>
        <v>8.728652751423141E-2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-0.57615894039735094</v>
      </c>
      <c r="C12" s="455">
        <f>IF(ISNUMBER(
   IF(J_V="SI",(Datos!J12-Datos!T12)/Datos!T12,(Datos!J12+Datos!Z12-(Datos!T12+Datos!AH12))/(Datos!T12+Datos!AH12))
     ),IF(J_V="SI",(Datos!J12-Datos!T12)/Datos!T12,(Datos!J12+Datos!Z12-(Datos!T12+Datos!AH12))/(Datos!T12+Datos!AH12))," - ")</f>
        <v>-0.26984126984126983</v>
      </c>
      <c r="D12" s="455">
        <f>IF(ISNUMBER(
   IF(J_V="SI",(Datos!K12-Datos!U12)/Datos!U12,(Datos!K12+Datos!AA12-(Datos!U12+Datos!AI12))/(Datos!U12+Datos!AI12))
     ),IF(J_V="SI",(Datos!K12-Datos!U12)/Datos!U12,(Datos!K12+Datos!AA12-(Datos!U12+Datos!AI12))/(Datos!U12+Datos!AI12))," - ")</f>
        <v>-0.379746835443038</v>
      </c>
      <c r="E12" s="455">
        <f>IF(ISNUMBER(
   IF(J_V="SI",(Datos!L12-Datos!V12)/Datos!V12,(Datos!L12+Datos!AB12-(Datos!V12+Datos!AJ12))/(Datos!V12+Datos!AJ12))
     ),IF(J_V="SI",(Datos!L12-Datos!V12)/Datos!V12,(Datos!L12+Datos!AB12-(Datos!V12+Datos!AJ12))/(Datos!V12+Datos!AJ12))," - ")</f>
        <v>-0.26229508196721313</v>
      </c>
      <c r="F12" s="455">
        <f>IF(ISNUMBER((Datos!M12-Datos!W12)/Datos!W12),(Datos!M12-Datos!W12)/Datos!W12," - ")</f>
        <v>-0.66666666666666663</v>
      </c>
      <c r="G12" s="456">
        <f>IF(ISNUMBER((Datos!N12-Datos!X12)/Datos!X12),(Datos!N12-Datos!X12)/Datos!X12," - ")</f>
        <v>0.65517241379310343</v>
      </c>
      <c r="H12" s="454">
        <f>IF(ISNUMBER(((NºAsuntos!G12/NºAsuntos!E12)-Datos!BD12)/Datos!BD12),((NºAsuntos!G12/NºAsuntos!E12)-Datos!BD12)/Datos!BD12," - ")</f>
        <v>-0.15052283984589976</v>
      </c>
      <c r="I12" s="455">
        <f>IF(ISNUMBER(((NºAsuntos!I12/NºAsuntos!G12)-Datos!BE12)/Datos!BE12),((NºAsuntos!I12/NºAsuntos!G12)-Datos!BE12)/Datos!BE12," - ")</f>
        <v>0.18936099029775846</v>
      </c>
      <c r="J12" s="460">
        <f>IF(ISNUMBER((('Resol  Asuntos'!D12/NºAsuntos!G12)-Datos!BF12)/Datos!BF12),(('Resol  Asuntos'!D12/NºAsuntos!G12)-Datos!BF12)/Datos!BF12," - ")</f>
        <v>-0.61083743842364535</v>
      </c>
      <c r="K12" s="461">
        <f>IF(ISNUMBER((((NºAsuntos!C12+NºAsuntos!E12)/NºAsuntos!G12)-Datos!BG12)/Datos!BG12),(((NºAsuntos!C12+NºAsuntos!E12)/NºAsuntos!G12)-Datos!BG12)/Datos!BG12," - ")</f>
        <v>-9.2020923893022924E-2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-0.28764074365017023</v>
      </c>
      <c r="C13" s="854">
        <f>IF(ISNUMBER(
   IF(J_V="SI",(Datos!J13-Datos!T13)/Datos!T13,(Datos!J13+Datos!Z13-(Datos!T13+Datos!AH13))/(Datos!T13+Datos!AH13))
     ),IF(J_V="SI",(Datos!J13-Datos!T13)/Datos!T13,(Datos!J13+Datos!Z13-(Datos!T13+Datos!AH13))/(Datos!T13+Datos!AH13))," - ")</f>
        <v>-0.34439399231575268</v>
      </c>
      <c r="D13" s="854">
        <f>IF(ISNUMBER(
   IF(J_V="SI",(Datos!K13-Datos!U13)/Datos!U13,(Datos!K13+Datos!AA13-(Datos!U13+Datos!AI13))/(Datos!U13+Datos!AI13))
     ),IF(J_V="SI",(Datos!K13-Datos!U13)/Datos!U13,(Datos!K13+Datos!AA13-(Datos!U13+Datos!AI13))/(Datos!U13+Datos!AI13))," - ")</f>
        <v>-0.4343142406726222</v>
      </c>
      <c r="E13" s="854">
        <f>IF(ISNUMBER(
   IF(J_V="SI",(Datos!L13-Datos!V13)/Datos!V13,(Datos!L13+Datos!AB13-(Datos!V13+Datos!AJ13))/(Datos!V13+Datos!AJ13))
     ),IF(J_V="SI",(Datos!L13-Datos!V13)/Datos!V13,(Datos!L13+Datos!AB13-(Datos!V13+Datos!AJ13))/(Datos!V13+Datos!AJ13))," - ")</f>
        <v>-0.25488069414316705</v>
      </c>
      <c r="F13" s="855">
        <f>IF(ISNUMBER((Datos!M13-Datos!W13)/Datos!W13),(Datos!M13-Datos!W13)/Datos!W13," - ")</f>
        <v>-0.58416500332667998</v>
      </c>
      <c r="G13" s="856">
        <f>IF(ISNUMBER((Datos!N13-Datos!X13)/Datos!X13),(Datos!N13-Datos!X13)/Datos!X13," - ")</f>
        <v>-0.39867659222497931</v>
      </c>
      <c r="H13" s="856">
        <f>IF(ISNUMBER(((NºAsuntos!G13/NºAsuntos!E13)-Datos!BD13)/Datos!BD13),((NºAsuntos!G13/NºAsuntos!E13)-Datos!BD13)/Datos!BD13," - ")</f>
        <v>-0.13715592490448436</v>
      </c>
      <c r="I13" s="856">
        <f>IF(ISNUMBER(((NºAsuntos!I13/NºAsuntos!G13)-Datos!BE13)/Datos!BE13),((NºAsuntos!I13/NºAsuntos!G13)-Datos!BE13)/Datos!BE13," - ")</f>
        <v>0.31719650631263646</v>
      </c>
      <c r="J13" s="856">
        <f>IF(ISNUMBER((('Resol  Asuntos'!D13/NºAsuntos!G13)-Datos!BF13)/Datos!BF13),(('Resol  Asuntos'!D13/NºAsuntos!G13)-Datos!BF13)/Datos!BF13," - ")</f>
        <v>-8.5386016124120515E-2</v>
      </c>
      <c r="K13" s="856">
        <f>IF(ISNUMBER((((NºAsuntos!C13+NºAsuntos!E13)/NºAsuntos!G13)-Datos!BG13)/Datos!BG13),(((NºAsuntos!C13+NºAsuntos!E13)/NºAsuntos!G13)-Datos!BG13)/Datos!BG13," - ")</f>
        <v>0.23193133177814693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-0.10791635548917103</v>
      </c>
      <c r="C15" s="455">
        <f>IF(ISNUMBER(
   IF(D_I="SI",(Datos!J15-Datos!T15)/Datos!T15,(Datos!J15+Datos!AD15-(Datos!T15+Datos!AL15))/(Datos!T15+Datos!AL15))
     ),IF(D_I="SI",(Datos!J15-Datos!T15)/Datos!T15,(Datos!J15+Datos!AD15-(Datos!T15+Datos!AL15))/(Datos!T15+Datos!AL15))," - ")</f>
        <v>5.0809603573422672E-2</v>
      </c>
      <c r="D15" s="455">
        <f>IF(ISNUMBER(
   IF(D_I="SI",(Datos!K15-Datos!U15)/Datos!U15,(Datos!K15+Datos!AE15-(Datos!U15+Datos!AM15))/(Datos!U15+Datos!AM15))
     ),IF(D_I="SI",(Datos!K15-Datos!U15)/Datos!U15,(Datos!K15+Datos!AE15-(Datos!U15+Datos!AM15))/(Datos!U15+Datos!AM15))," - ")</f>
        <v>0.10200129115558425</v>
      </c>
      <c r="E15" s="455">
        <f>IF(ISNUMBER(
   IF(D_I="SI",(Datos!L15-Datos!V15)/Datos!V15,(Datos!L15+Datos!AF15-(Datos!V15+Datos!AN15))/(Datos!V15+Datos!AN15))
     ),IF(D_I="SI",(Datos!L15-Datos!V15)/Datos!V15,(Datos!L15+Datos!AF15-(Datos!V15+Datos!AN15))/(Datos!V15+Datos!AN15))," - ")</f>
        <v>-0.11878172588832488</v>
      </c>
      <c r="F15" s="455">
        <f>IF(ISNUMBER((Datos!M15-Datos!W15)/Datos!W15),(Datos!M15-Datos!W15)/Datos!W15," - ")</f>
        <v>1.0256410256410256E-2</v>
      </c>
      <c r="G15" s="456">
        <f>IF(ISNUMBER((Datos!N15-Datos!X15)/Datos!X15),(Datos!N15-Datos!X15)/Datos!X15," - ")</f>
        <v>0.32100108813928185</v>
      </c>
      <c r="H15" s="454">
        <f>IF(ISNUMBER(((NºAsuntos!G15/NºAsuntos!E15)-Datos!BD15)/Datos!BD15),((NºAsuntos!G15/NºAsuntos!E15)-Datos!BD15)/Datos!BD15," - ")</f>
        <v>4.871642532393803E-2</v>
      </c>
      <c r="I15" s="455">
        <f>IF(ISNUMBER(((NºAsuntos!I15/NºAsuntos!G15)-Datos!BE15)/Datos!BE15),((NºAsuntos!I15/NºAsuntos!G15)-Datos!BE15)/Datos!BE15," - ")</f>
        <v>-0.20034733063914187</v>
      </c>
      <c r="J15" s="460">
        <f>IF(ISNUMBER((('Resol  Asuntos'!D15/NºAsuntos!G15)-Datos!BF15)/Datos!BF15),(('Resol  Asuntos'!D15/NºAsuntos!G15)-Datos!BF15)/Datos!BF15," - ")</f>
        <v>-8.3252970423444941E-2</v>
      </c>
      <c r="K15" s="461">
        <f>IF(ISNUMBER((((NºAsuntos!C15+NºAsuntos!E15)/NºAsuntos!G15)-Datos!BG15)/Datos!BG15),(((NºAsuntos!C15+NºAsuntos!E15)/NºAsuntos!G15)-Datos!BG15)/Datos!BG15," - ")</f>
        <v>-0.13276436790423604</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-0.27777777777777779</v>
      </c>
      <c r="C16" s="455">
        <f>IF(ISNUMBER(
   IF(D_I="SI",(Datos!J16-Datos!T16)/Datos!T16,(Datos!J16+Datos!AD16-(Datos!T16+Datos!AL16))/(Datos!T16+Datos!AL16))
     ),IF(D_I="SI",(Datos!J16-Datos!T16)/Datos!T16,(Datos!J16+Datos!AD16-(Datos!T16+Datos!AL16))/(Datos!T16+Datos!AL16))," - ")</f>
        <v>-0.2</v>
      </c>
      <c r="D16" s="455">
        <f>IF(ISNUMBER(
   IF(D_I="SI",(Datos!K16-Datos!U16)/Datos!U16,(Datos!K16+Datos!AE16-(Datos!U16+Datos!AM16))/(Datos!U16+Datos!AM16))
     ),IF(D_I="SI",(Datos!K16-Datos!U16)/Datos!U16,(Datos!K16+Datos!AE16-(Datos!U16+Datos!AM16))/(Datos!U16+Datos!AM16))," - ")</f>
        <v>-0.14814814814814814</v>
      </c>
      <c r="E16" s="455">
        <f>IF(ISNUMBER(
   IF(D_I="SI",(Datos!L16-Datos!V16)/Datos!V16,(Datos!L16+Datos!AF16-(Datos!V16+Datos!AN16))/(Datos!V16+Datos!AN16))
     ),IF(D_I="SI",(Datos!L16-Datos!V16)/Datos!V16,(Datos!L16+Datos!AF16-(Datos!V16+Datos!AN16))/(Datos!V16+Datos!AN16))," - ")</f>
        <v>-0.28985507246376813</v>
      </c>
      <c r="F16" s="455" t="str">
        <f>IF(ISNUMBER((Datos!M16-Datos!W16)/Datos!W16),(Datos!M16-Datos!W16)/Datos!W16," - ")</f>
        <v xml:space="preserve"> - </v>
      </c>
      <c r="G16" s="456">
        <f>IF(ISNUMBER((Datos!N16-Datos!X16)/Datos!X16),(Datos!N16-Datos!X16)/Datos!X16," - ")</f>
        <v>0</v>
      </c>
      <c r="H16" s="454">
        <f>IF(ISNUMBER(((NºAsuntos!G16/NºAsuntos!E16)-Datos!BD16)/Datos!BD16),((NºAsuntos!G16/NºAsuntos!E16)-Datos!BD16)/Datos!BD16," - ")</f>
        <v>6.4814814814814742E-2</v>
      </c>
      <c r="I16" s="455">
        <f>IF(ISNUMBER(((NºAsuntos!I16/NºAsuntos!G16)-Datos!BE16)/Datos!BE16),((NºAsuntos!I16/NºAsuntos!G16)-Datos!BE16)/Datos!BE16," - ")</f>
        <v>-0.1663516068052929</v>
      </c>
      <c r="J16" s="460" t="str">
        <f>IF(ISNUMBER((('Resol  Asuntos'!D16/NºAsuntos!G16)-Datos!BF16)/Datos!BF16),(('Resol  Asuntos'!D16/NºAsuntos!G16)-Datos!BF16)/Datos!BF16," - ")</f>
        <v xml:space="preserve"> - </v>
      </c>
      <c r="K16" s="461">
        <f>IF(ISNUMBER((((NºAsuntos!C16+NºAsuntos!E16)/NºAsuntos!G16)-Datos!BG16)/Datos!BG16),(((NºAsuntos!C16+NºAsuntos!E16)/NºAsuntos!G16)-Datos!BG16)/Datos!BG16," - ")</f>
        <v>-0.14736842105263159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1.3318965517241379</v>
      </c>
      <c r="C17" s="455">
        <f>IF(ISNUMBER(
   IF(D_I="SI",(Datos!J17-Datos!T17)/Datos!T17,(Datos!J17+Datos!AD17-(Datos!T17+Datos!AL17))/(Datos!T17+Datos!AL17))
     ),IF(D_I="SI",(Datos!J17-Datos!T17)/Datos!T17,(Datos!J17+Datos!AD17-(Datos!T17+Datos!AL17))/(Datos!T17+Datos!AL17))," - ")</f>
        <v>-0.28350515463917525</v>
      </c>
      <c r="D17" s="455">
        <f>IF(ISNUMBER(
   IF(D_I="SI",(Datos!K17-Datos!U17)/Datos!U17,(Datos!K17+Datos!AE17-(Datos!U17+Datos!AM17))/(Datos!U17+Datos!AM17))
     ),IF(D_I="SI",(Datos!K17-Datos!U17)/Datos!U17,(Datos!K17+Datos!AE17-(Datos!U17+Datos!AM17))/(Datos!U17+Datos!AM17))," - ")</f>
        <v>-0.38582677165354329</v>
      </c>
      <c r="E17" s="455">
        <f>IF(ISNUMBER(
   IF(D_I="SI",(Datos!L17-Datos!V17)/Datos!V17,(Datos!L17+Datos!AF17-(Datos!V17+Datos!AN17))/(Datos!V17+Datos!AN17))
     ),IF(D_I="SI",(Datos!L17-Datos!V17)/Datos!V17,(Datos!L17+Datos!AF17-(Datos!V17+Datos!AN17))/(Datos!V17+Datos!AN17))," - ")</f>
        <v>0.97575757575757571</v>
      </c>
      <c r="F17" s="455">
        <f>IF(ISNUMBER((Datos!M17-Datos!W17)/Datos!W17),(Datos!M17-Datos!W17)/Datos!W17," - ")</f>
        <v>-0.11864406779661017</v>
      </c>
      <c r="G17" s="456">
        <f>IF(ISNUMBER((Datos!N17-Datos!X17)/Datos!X17),(Datos!N17-Datos!X17)/Datos!X17," - ")</f>
        <v>-0.10775862068965517</v>
      </c>
      <c r="H17" s="454">
        <f>IF(ISNUMBER(((NºAsuntos!G17/NºAsuntos!E17)-Datos!BD17)/Datos!BD17),((NºAsuntos!G17/NºAsuntos!E17)-Datos!BD17)/Datos!BD17," - ")</f>
        <v>-0.14280858777544891</v>
      </c>
      <c r="I17" s="455">
        <f>IF(ISNUMBER(((NºAsuntos!I17/NºAsuntos!G17)-Datos!BE17)/Datos!BE17),((NºAsuntos!I17/NºAsuntos!G17)-Datos!BE17)/Datos!BE17," - ")</f>
        <v>2.2169386169386174</v>
      </c>
      <c r="J17" s="460">
        <f>IF(ISNUMBER((('Resol  Asuntos'!D17/NºAsuntos!G17)-Datos!BF17)/Datos!BF17),(('Resol  Asuntos'!D17/NºAsuntos!G17)-Datos!BF17)/Datos!BF17," - ")</f>
        <v>0.4350282485875705</v>
      </c>
      <c r="K17" s="461">
        <f>IF(ISNUMBER((((NºAsuntos!C17+NºAsuntos!E17)/NºAsuntos!G17)-Datos!BG17)/Datos!BG17),(((NºAsuntos!C17+NºAsuntos!E17)/NºAsuntos!G17)-Datos!BG17)/Datos!BG17," - ")</f>
        <v>0.91624141624141631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-1.6666666666666668E-3</v>
      </c>
      <c r="C18" s="854">
        <f>IF(ISNUMBER(
   IF(Criterios!B14="SI",(Datos!J18-Datos!T18)/Datos!T18,(Datos!J18+Datos!AD18-(Datos!T18+Datos!AL18))/(Datos!T18+Datos!AL18))
     ),IF(Criterios!B14="SI",(Datos!J18-Datos!T18)/Datos!T18,(Datos!J18+Datos!AD18-(Datos!T18+Datos!AL18))/(Datos!T18+Datos!AL18))," - ")</f>
        <v>-3.1539108494533223E-2</v>
      </c>
      <c r="D18" s="854">
        <f>IF(ISNUMBER(
   IF(Criterios!B14="SI",(Datos!K18-Datos!U18)/Datos!U18,(Datos!K18+Datos!AE18-(Datos!U18+Datos!AM18))/(Datos!U18+Datos!AM18))
     ),IF(Criterios!B14="SI",(Datos!K18-Datos!U18)/Datos!U18,(Datos!K18+Datos!AE18-(Datos!U18+Datos!AM18))/(Datos!U18+Datos!AM18))," - ")</f>
        <v>-2.0153550863723609E-2</v>
      </c>
      <c r="E18" s="854">
        <f>IF(ISNUMBER(
   IF(Criterios!B14="SI",(Datos!L18-Datos!V18)/Datos!V18,(Datos!L18+Datos!AF18-(Datos!V18+Datos!AN18))/(Datos!V18+Datos!AN18))
     ),IF(Criterios!B14="SI",(Datos!L18-Datos!V18)/Datos!V18,(Datos!L18+Datos!AF18-(Datos!V18+Datos!AN18))/(Datos!V18+Datos!AN18))," - ")</f>
        <v>-1.4609421586165773E-2</v>
      </c>
      <c r="F18" s="855">
        <f>IF(ISNUMBER((Datos!M18-Datos!W18)/Datos!W18),(Datos!M18-Datos!W18)/Datos!W18," - ")</f>
        <v>-1.968503937007874E-2</v>
      </c>
      <c r="G18" s="856">
        <f>IF(ISNUMBER((Datos!N18-Datos!X18)/Datos!X18),(Datos!N18-Datos!X18)/Datos!X18," - ")</f>
        <v>0.23376623376623376</v>
      </c>
      <c r="H18" s="856">
        <f>IF(ISNUMBER(((NºAsuntos!G18/NºAsuntos!E18)-Datos!BD18)/Datos!BD18),((NºAsuntos!G18/NºAsuntos!E18)-Datos!BD18)/Datos!BD18," - ")</f>
        <v>1.1756342182399125E-2</v>
      </c>
      <c r="I18" s="856">
        <f>IF(ISNUMBER(((NºAsuntos!I18/NºAsuntos!G18)-Datos!BE18)/Datos!BE18),((NºAsuntos!I18/NºAsuntos!G18)-Datos!BE18)/Datos!BE18," - ")</f>
        <v>5.6581613195056651E-3</v>
      </c>
      <c r="J18" s="856">
        <f>IF(ISNUMBER((('Resol  Asuntos'!D18/NºAsuntos!G18)-Datos!BF18)/Datos!BF18),(('Resol  Asuntos'!D18/NºAsuntos!G18)-Datos!BF18)/Datos!BF18," - ")</f>
        <v>4.7814787108514591E-4</v>
      </c>
      <c r="K18" s="856">
        <f>IF(ISNUMBER((((NºAsuntos!C18+NºAsuntos!E18)/NºAsuntos!G18)-Datos!BG18)/Datos!BG18),(((NºAsuntos!C18+NºAsuntos!E18)/NºAsuntos!G18)-Datos!BG18)/Datos!BG18," - ")</f>
        <v>5.3866934938984973E-3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-0.20699379582628313</v>
      </c>
      <c r="C19" s="801">
        <f>IF(ISNUMBER(
   IF(J_V="SI",(Datos!J19-Datos!T19)/Datos!T19,(Datos!J19+Datos!Z19-(Datos!T19+Datos!AH19))/(Datos!T19+Datos!AH19))
     ),IF(J_V="SI",(Datos!J19-Datos!T19)/Datos!T19,(Datos!J19+Datos!Z19-(Datos!T19+Datos!AH19))/(Datos!T19+Datos!AH19))," - ")</f>
        <v>-0.20244228200725053</v>
      </c>
      <c r="D19" s="801">
        <f>IF(ISNUMBER(
   IF(J_V="SI",(Datos!K19-Datos!U19)/Datos!U19,(Datos!K19+Datos!AA19-(Datos!U19+Datos!AI19))/(Datos!U19+Datos!AI19))
     ),IF(J_V="SI",(Datos!K19-Datos!U19)/Datos!U19,(Datos!K19+Datos!AA19-(Datos!U19+Datos!AI19))/(Datos!U19+Datos!AI19))," - ")</f>
        <v>-0.28777589134125636</v>
      </c>
      <c r="E19" s="801">
        <f>IF(ISNUMBER(
   IF(J_V="SI",(Datos!L19-Datos!V19)/Datos!V19,(Datos!L19+Datos!AB19-(Datos!V19+Datos!AJ19))/(Datos!V19+Datos!AJ19))
     ),IF(J_V="SI",(Datos!L19-Datos!V19)/Datos!V19,(Datos!L19+Datos!AB19-(Datos!V19+Datos!AJ19))/(Datos!V19+Datos!AJ19))," - ")</f>
        <v>-0.17271615008156607</v>
      </c>
      <c r="F19" s="802">
        <f>IF(ISNUMBER((Datos!M19-Datos!W19)/Datos!W19),(Datos!M19-Datos!W19)/Datos!W19," - ")</f>
        <v>-0.50256118383608428</v>
      </c>
      <c r="G19" s="803">
        <f>IF(ISNUMBER((Datos!N19-Datos!X19)/Datos!X19),(Datos!N19-Datos!X19)/Datos!X19," - ")</f>
        <v>-8.9678510998307953E-2</v>
      </c>
      <c r="H19" s="804">
        <f>IF(ISNUMBER((Tasas!B19-Datos!BD19)/Datos!BD19),(Tasas!B19-Datos!BD19)/Datos!BD19," - ")</f>
        <v>-0.10699364749270913</v>
      </c>
      <c r="I19" s="805">
        <f>IF(ISNUMBER((Tasas!C19-Datos!BE19)/Datos!BE19),(Tasas!C19-Datos!BE19)/Datos!BE19," - ")</f>
        <v>0.16154991085091211</v>
      </c>
      <c r="J19" s="806">
        <f>IF(ISNUMBER((Tasas!D19-Datos!BF19)/Datos!BF19),(Tasas!D19-Datos!BF19)/Datos!BF19," - ")</f>
        <v>-0.16064169937176853</v>
      </c>
      <c r="K19" s="806">
        <f>IF(ISNUMBER((Tasas!E19-Datos!BG19)/Datos!BG19),(Tasas!E19-Datos!BG19)/Datos!BG19," - ")</f>
        <v>0.11553155902417869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EOp5H+evClppvyOaJwtSgDaczr+Ig+EajWP5DPGXRArcSpgFc6ER9OB0aMWMc1IImo4mA5EbAPtElOEejiV0g==" saltValue="Bn44D+EC73z3vVHbuPfv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TOLEDO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1.1638872915468661</v>
      </c>
      <c r="C9" s="442">
        <f>IF(ISNUMBER(NºAsuntos!I9/NºAsuntos!G9),NºAsuntos!I9/NºAsuntos!G9," - ")</f>
        <v>2.2524703557312251</v>
      </c>
      <c r="D9" s="443">
        <f>IF(ISNUMBER('Resol  Asuntos'!D9/NºAsuntos!G9),'Resol  Asuntos'!D9/NºAsuntos!G9," - ")</f>
        <v>0.30237154150197626</v>
      </c>
      <c r="E9" s="444">
        <f>IF(ISNUMBER((NºAsuntos!C9+NºAsuntos!E9)/NºAsuntos!G9),(NºAsuntos!C9+NºAsuntos!E9)/NºAsuntos!G9," - ")</f>
        <v>3.4441699604743081</v>
      </c>
      <c r="G9" s="462"/>
    </row>
    <row r="10" spans="1:7" ht="21">
      <c r="A10" s="401" t="str">
        <f>Datos!A10</f>
        <v>Jdos. Violencia contra la mujer/Secc Viol. TI.</v>
      </c>
      <c r="B10" s="441">
        <f>IF(ISNUMBER(NºAsuntos!G10/NºAsuntos!E10),NºAsuntos!G10/NºAsuntos!E10," - ")</f>
        <v>0.67391304347826086</v>
      </c>
      <c r="C10" s="442">
        <f>IF(ISNUMBER(NºAsuntos!I10/NºAsuntos!G10),NºAsuntos!I10/NºAsuntos!G10," - ")</f>
        <v>5.161290322580645</v>
      </c>
      <c r="D10" s="443">
        <f>IF(ISNUMBER('Resol  Asuntos'!D10/NºAsuntos!G10),'Resol  Asuntos'!D10/NºAsuntos!G10," - ")</f>
        <v>0.19354838709677419</v>
      </c>
      <c r="E10" s="444">
        <f>IF(ISNUMBER((NºAsuntos!C10+NºAsuntos!E10)/NºAsuntos!G10),(NºAsuntos!C10+NºAsuntos!E10)/NºAsuntos!G10," - ")</f>
        <v>6.161290322580645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1.0652173913043479</v>
      </c>
      <c r="C12" s="442">
        <f>IF(ISNUMBER(NºAsuntos!I12/NºAsuntos!G12),NºAsuntos!I12/NºAsuntos!G12," - ")</f>
        <v>0.91836734693877553</v>
      </c>
      <c r="D12" s="443">
        <f>IF(ISNUMBER('Resol  Asuntos'!D12/NºAsuntos!G12),'Resol  Asuntos'!D12/NºAsuntos!G12," - ")</f>
        <v>7.1428571428571425E-2</v>
      </c>
      <c r="E12" s="444">
        <f>IF(ISNUMBER((NºAsuntos!C12+NºAsuntos!E12)/NºAsuntos!G12),(NºAsuntos!C12+NºAsuntos!E12)/NºAsuntos!G12," - ")</f>
        <v>1.5918367346938775</v>
      </c>
      <c r="G12" s="462"/>
    </row>
    <row r="13" spans="1:7" ht="14.25" thickTop="1" thickBot="1">
      <c r="A13" s="847" t="str">
        <f>Datos!A13</f>
        <v>TOTAL</v>
      </c>
      <c r="B13" s="857">
        <f>IF(ISNUMBER(NºAsuntos!G13/NºAsuntos!E13),NºAsuntos!G13/NºAsuntos!E13," - ")</f>
        <v>1.1470431539690997</v>
      </c>
      <c r="C13" s="858">
        <f>IF(ISNUMBER(NºAsuntos!I13/NºAsuntos!G13),NºAsuntos!I13/NºAsuntos!G13," - ")</f>
        <v>2.2336274965164886</v>
      </c>
      <c r="D13" s="859">
        <f>IF(ISNUMBER('Resol  Asuntos'!D13/NºAsuntos!G13),'Resol  Asuntos'!D13/NºAsuntos!G13," - ")</f>
        <v>0.29029261495587555</v>
      </c>
      <c r="E13" s="860">
        <f>IF(ISNUMBER((NºAsuntos!C13+NºAsuntos!E13)/NºAsuntos!G13),(NºAsuntos!C13+NºAsuntos!E13)/NºAsuntos!G13," - ")</f>
        <v>3.3989781699953552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0.90701381509032941</v>
      </c>
      <c r="C15" s="442">
        <f>IF(ISNUMBER(NºAsuntos!I15/NºAsuntos!G15),NºAsuntos!I15/NºAsuntos!G15," - ")</f>
        <v>1.5254833040421794</v>
      </c>
      <c r="D15" s="443">
        <f>IF(ISNUMBER('Resol  Asuntos'!D15/NºAsuntos!G15),'Resol  Asuntos'!D15/NºAsuntos!G15," - ")</f>
        <v>0.11540714704159344</v>
      </c>
      <c r="E15" s="444">
        <f>IF(ISNUMBER((NºAsuntos!C15+NºAsuntos!E15)/NºAsuntos!G15),(NºAsuntos!C15+NºAsuntos!E15)/NºAsuntos!G15," - ")</f>
        <v>2.5020503807850027</v>
      </c>
      <c r="G15" s="462"/>
    </row>
    <row r="16" spans="1:7" ht="21">
      <c r="A16" s="401" t="str">
        <f>Datos!A16</f>
        <v xml:space="preserve">Jdos. 1ª Instª. e Instr./Secc. Civil y de Inst. TI                      </v>
      </c>
      <c r="B16" s="441">
        <f>IF(ISNUMBER(NºAsuntos!G16/NºAsuntos!E16),NºAsuntos!G16/NºAsuntos!E16," - ")</f>
        <v>5.75</v>
      </c>
      <c r="C16" s="442">
        <f>IF(ISNUMBER(NºAsuntos!I16/NºAsuntos!G16),NºAsuntos!I16/NºAsuntos!G16," - ")</f>
        <v>2.1304347826086958</v>
      </c>
      <c r="D16" s="443">
        <f>IF(ISNUMBER('Resol  Asuntos'!D16/NºAsuntos!G16),'Resol  Asuntos'!D16/NºAsuntos!G16," - ")</f>
        <v>0</v>
      </c>
      <c r="E16" s="444">
        <f>IF(ISNUMBER((NºAsuntos!C16+NºAsuntos!E16)/NºAsuntos!G16),(NºAsuntos!C16+NºAsuntos!E16)/NºAsuntos!G16," - ")</f>
        <v>3</v>
      </c>
      <c r="G16" s="462"/>
    </row>
    <row r="17" spans="1:7" ht="21.75" thickBot="1">
      <c r="A17" s="401" t="str">
        <f>Datos!A17</f>
        <v>Jdos. Violencia contra la mujer/Secc Viol. TI.</v>
      </c>
      <c r="B17" s="441">
        <f>IF(ISNUMBER(NºAsuntos!G17/NºAsuntos!E17),NºAsuntos!G17/NºAsuntos!E17," - ")</f>
        <v>0.74820143884892087</v>
      </c>
      <c r="C17" s="442">
        <f>IF(ISNUMBER(NºAsuntos!I17/NºAsuntos!G17),NºAsuntos!I17/NºAsuntos!G17," - ")</f>
        <v>2.0897435897435899</v>
      </c>
      <c r="D17" s="443">
        <f>IF(ISNUMBER('Resol  Asuntos'!D17/NºAsuntos!G17),'Resol  Asuntos'!D17/NºAsuntos!G17," - ")</f>
        <v>0.16666666666666666</v>
      </c>
      <c r="E17" s="444">
        <f>IF(ISNUMBER((NºAsuntos!C17+NºAsuntos!E17)/NºAsuntos!G17),(NºAsuntos!C17+NºAsuntos!E17)/NºAsuntos!G17," - ")</f>
        <v>3.0705128205128207</v>
      </c>
      <c r="G17" s="462"/>
    </row>
    <row r="18" spans="1:7" ht="14.25" thickTop="1" thickBot="1">
      <c r="A18" s="847" t="str">
        <f>Datos!A18</f>
        <v>TOTAL</v>
      </c>
      <c r="B18" s="857">
        <f>IF(ISNUMBER(NºAsuntos!G18/NºAsuntos!E18),NºAsuntos!G18/NºAsuntos!E18," - ")</f>
        <v>0.88666956144159792</v>
      </c>
      <c r="C18" s="858">
        <f>IF(ISNUMBER(NºAsuntos!I18/NºAsuntos!G18),NºAsuntos!I18/NºAsuntos!G18," - ")</f>
        <v>1.618511263467189</v>
      </c>
      <c r="D18" s="861">
        <f>IF(ISNUMBER('Resol  Asuntos'!D18/NºAsuntos!G18),'Resol  Asuntos'!D18/NºAsuntos!G18," - ")</f>
        <v>0.12193927522037218</v>
      </c>
      <c r="E18" s="860">
        <f>IF(ISNUMBER((NºAsuntos!C18+NºAsuntos!E18)/NºAsuntos!G18),(NºAsuntos!C18+NºAsuntos!E18)/NºAsuntos!G18," - ")</f>
        <v>2.594515181194907</v>
      </c>
      <c r="G18" s="462"/>
    </row>
    <row r="19" spans="1:7" ht="15.75" customHeight="1" thickTop="1" thickBot="1">
      <c r="A19" s="792" t="str">
        <f>Datos!A19</f>
        <v>TOTAL JURISDICCIONES</v>
      </c>
      <c r="B19" s="807">
        <f>IF(ISNUMBER(NºAsuntos!G19/NºAsuntos!E19),NºAsuntos!G19/NºAsuntos!E19," - ")</f>
        <v>1.0035885167464116</v>
      </c>
      <c r="C19" s="808">
        <f>IF(ISNUMBER(NºAsuntos!I19/NºAsuntos!G19),NºAsuntos!I19/NºAsuntos!G19," - ")</f>
        <v>1.9342073897497021</v>
      </c>
      <c r="D19" s="809">
        <f>IF(ISNUMBER('Resol  Asuntos'!D19/NºAsuntos!G19),'Resol  Asuntos'!D19/NºAsuntos!G19," - ")</f>
        <v>0.20834326579261025</v>
      </c>
      <c r="E19" s="810">
        <f>IF(ISNUMBER((NºAsuntos!C19+NºAsuntos!E19)/NºAsuntos!G19),(NºAsuntos!C19+NºAsuntos!E19)/NºAsuntos!G19," - ")</f>
        <v>3.0073897497020261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Y8cnbAvNiaZdtgsP3Xx6hLhYHnzIl626L8bL+sCKu5wcaHDNnPb0DNAkEr1Y49g1ab8zGGt9//NyCZguFijbQ==" saltValue="+UV/dA8wAsJ7bGcIlSeE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TOLEDO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589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349</v>
      </c>
      <c r="Y9" s="333">
        <f>SUM(W9:X9)</f>
        <v>349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6879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612</v>
      </c>
      <c r="AJ9" s="228" t="str">
        <f>IF(ISNUMBER(Datos!BW9),Datos!BW9," - ")</f>
        <v xml:space="preserve"> - </v>
      </c>
      <c r="AK9" s="227" t="str">
        <f>IF(ISNUMBER(Datos!BX9),Datos!BX9," - ")</f>
        <v xml:space="preserve"> - </v>
      </c>
      <c r="AL9" s="242">
        <f>IF(ISNUMBER(NºAsuntos!G9/NºAsuntos!E9),NºAsuntos!G9/NºAsuntos!E9," - ")</f>
        <v>1.1638872915468661</v>
      </c>
      <c r="AM9" s="259">
        <f>IF(ISNUMBER(((NºAsuntos!I9/NºAsuntos!G9)*11)/factor_trimestre),((NºAsuntos!I9/NºAsuntos!G9)*11)/factor_trimestre," - ")</f>
        <v>6.7574110671936758</v>
      </c>
      <c r="AN9" s="243">
        <f>IF(ISNUMBER('Resol  Asuntos'!D9/NºAsuntos!G9),'Resol  Asuntos'!D9/NºAsuntos!G9," - ")</f>
        <v>0.30237154150197626</v>
      </c>
      <c r="AO9" s="244">
        <f>IF(ISNUMBER((NºAsuntos!C9+NºAsuntos!E9)/NºAsuntos!G9),(NºAsuntos!C9+NºAsuntos!E9)/NºAsuntos!G9," - ")</f>
        <v>3.4441699604743081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145</v>
      </c>
      <c r="G10" s="332">
        <f>IF(ISNUMBER(Datos!I10),Datos!I10," - ")</f>
        <v>145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0</v>
      </c>
      <c r="Y10" s="333">
        <f t="shared" ref="Y10:Y12" si="0">SUM(W10:X10)</f>
        <v>31</v>
      </c>
      <c r="Z10" s="334" t="str">
        <f>IF(ISNUMBER(Datos!CC10),Datos!CC10," - ")</f>
        <v xml:space="preserve"> - </v>
      </c>
      <c r="AA10" s="331">
        <f>IF(ISNUMBER(Datos!L10),Datos!L10,"-")</f>
        <v>160</v>
      </c>
      <c r="AB10" s="333">
        <f>IF(ISNUMBER(Datos!R10),Datos!R10," - ")</f>
        <v>33</v>
      </c>
      <c r="AC10" s="333">
        <f t="shared" ref="AC10:AC12" si="1">IF(ISNUMBER(AA10+AB10),AA10+AB10," - ")</f>
        <v>193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0.67391304347826086</v>
      </c>
      <c r="AM10" s="259">
        <f>IF(ISNUMBER(((NºAsuntos!I10/NºAsuntos!G10)*11)/factor_trimestre),((NºAsuntos!I10/NºAsuntos!G10)*11)/factor_trimestre," - ")</f>
        <v>15.483870967741936</v>
      </c>
      <c r="AN10" s="243">
        <f>IF(ISNUMBER('Resol  Asuntos'!D10/NºAsuntos!G10),'Resol  Asuntos'!D10/NºAsuntos!G10," - ")</f>
        <v>0.19354838709677419</v>
      </c>
      <c r="AO10" s="244">
        <f>IF(ISNUMBER((NºAsuntos!C10+NºAsuntos!E10)/NºAsuntos!G10),(NºAsuntos!C10+NºAsuntos!E10)/NºAsuntos!G10," - ")</f>
        <v>6.161290322580645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45</v>
      </c>
      <c r="Y12" s="333">
        <f t="shared" si="0"/>
        <v>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v>
      </c>
      <c r="AJ12" s="228" t="str">
        <f>IF(ISNUMBER(Datos!BW12),Datos!BW12," - ")</f>
        <v xml:space="preserve"> - </v>
      </c>
      <c r="AK12" s="227" t="str">
        <f>IF(ISNUMBER(Datos!BX12),Datos!BX12," - ")</f>
        <v xml:space="preserve"> - </v>
      </c>
      <c r="AL12" s="242">
        <f>IF(ISNUMBER(NºAsuntos!G12/NºAsuntos!E12),NºAsuntos!G12/NºAsuntos!E12," - ")</f>
        <v>1.0652173913043479</v>
      </c>
      <c r="AM12" s="259">
        <f>IF(ISNUMBER(((NºAsuntos!I12/NºAsuntos!G12)*11)/factor_trimestre),((NºAsuntos!I12/NºAsuntos!G12)*11)/factor_trimestre," - ")</f>
        <v>2.7551020408163267</v>
      </c>
      <c r="AN12" s="243">
        <f>IF(ISNUMBER('Resol  Asuntos'!D12/NºAsuntos!G12),'Resol  Asuntos'!D12/NºAsuntos!G12," - ")</f>
        <v>7.1428571428571425E-2</v>
      </c>
      <c r="AO12" s="244">
        <f>IF(ISNUMBER((NºAsuntos!C12+NºAsuntos!E12)/NºAsuntos!G12),(NºAsuntos!C12+NºAsuntos!E12)/NºAsuntos!G12," - ")</f>
        <v>1.5918367346938775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145</v>
      </c>
      <c r="G13" s="865">
        <f t="shared" si="3"/>
        <v>145</v>
      </c>
      <c r="H13" s="864">
        <f t="shared" si="3"/>
        <v>0</v>
      </c>
      <c r="I13" s="866">
        <f t="shared" si="3"/>
        <v>0</v>
      </c>
      <c r="J13" s="866">
        <f t="shared" si="3"/>
        <v>0</v>
      </c>
      <c r="K13" s="866">
        <f t="shared" si="3"/>
        <v>0</v>
      </c>
      <c r="L13" s="866">
        <f t="shared" si="3"/>
        <v>594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31</v>
      </c>
      <c r="X13" s="866">
        <f t="shared" si="4"/>
        <v>394</v>
      </c>
      <c r="Y13" s="867">
        <f t="shared" si="4"/>
        <v>425</v>
      </c>
      <c r="Z13" s="867">
        <f t="shared" si="4"/>
        <v>0</v>
      </c>
      <c r="AA13" s="867">
        <f t="shared" si="4"/>
        <v>160</v>
      </c>
      <c r="AB13" s="867">
        <f t="shared" si="4"/>
        <v>8067</v>
      </c>
      <c r="AC13" s="867">
        <f t="shared" si="4"/>
        <v>193</v>
      </c>
      <c r="AD13" s="867">
        <f t="shared" si="4"/>
        <v>0</v>
      </c>
      <c r="AE13" s="871">
        <f t="shared" si="4"/>
        <v>0</v>
      </c>
      <c r="AF13" s="864">
        <f t="shared" si="4"/>
        <v>0</v>
      </c>
      <c r="AG13" s="872">
        <f t="shared" si="4"/>
        <v>0</v>
      </c>
      <c r="AH13" s="869">
        <f t="shared" si="4"/>
        <v>0</v>
      </c>
      <c r="AI13" s="864">
        <f t="shared" si="4"/>
        <v>625</v>
      </c>
      <c r="AJ13" s="866">
        <f t="shared" si="4"/>
        <v>0</v>
      </c>
      <c r="AK13" s="869">
        <f>SUBTOTAL(9,AK9:AK12)</f>
        <v>0</v>
      </c>
      <c r="AL13" s="873">
        <f>IF(ISNUMBER(NºAsuntos!G13/NºAsuntos!E13),NºAsuntos!G13/NºAsuntos!E13," - ")</f>
        <v>1.1470431539690997</v>
      </c>
      <c r="AM13" s="873">
        <f>IF(ISNUMBER(((NºAsuntos!I13/NºAsuntos!G13)*11)/factor_trimestre),((NºAsuntos!I13/NºAsuntos!G13)*11)/factor_trimestre," - ")</f>
        <v>6.7008824895494659</v>
      </c>
      <c r="AN13" s="874">
        <f>IF(ISNUMBER('Resol  Asuntos'!D13/NºAsuntos!G13),'Resol  Asuntos'!D13/NºAsuntos!G13," - ")</f>
        <v>0.29029261495587555</v>
      </c>
      <c r="AO13" s="875">
        <f>IF(ISNUMBER((NºAsuntos!C13+NºAsuntos!E13)/NºAsuntos!G13),(NºAsuntos!C13+NºAsuntos!E13)/NºAsuntos!G13," - ")</f>
        <v>3.3989781699953552</v>
      </c>
      <c r="AP13" s="876" t="str">
        <f t="shared" si="2"/>
        <v xml:space="preserve"> - </v>
      </c>
      <c r="AQ13" s="876">
        <f>IF(ISNUMBER((H13-W13+K13)/(F13)),(H13-W13+K13)/(F13)," - ")</f>
        <v>-0.21379310344827587</v>
      </c>
      <c r="AR13" s="877">
        <f>IF(ISNUMBER((Datos!P13-Datos!Q13)/(Datos!R13-Datos!P13+Datos!Q13)),(Datos!P13-Datos!Q13)/(Datos!R13-Datos!P13+Datos!Q13)," - ")</f>
        <v>2.542265158256006E-2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2429</v>
      </c>
      <c r="G15" s="332">
        <f>IF(ISNUMBER(IF(D_I="SI",Datos!I15,Datos!I15+Datos!AC15)),IF(D_I="SI",Datos!I15,Datos!I15+Datos!AC15)," - ")</f>
        <v>2389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1707</v>
      </c>
      <c r="X15" s="225">
        <f>IF(ISNUMBER(Datos!Q15),Datos!Q15," - ")</f>
        <v>138</v>
      </c>
      <c r="Y15" s="333">
        <f>SUM(W15)</f>
        <v>1707</v>
      </c>
      <c r="Z15" s="334" t="str">
        <f>IF(ISNUMBER(Datos!CC15),Datos!CC15," - ")</f>
        <v xml:space="preserve"> - </v>
      </c>
      <c r="AA15" s="331">
        <f>IF(ISNUMBER(IF(D_I="SI",Datos!L15,Datos!L15+Datos!AF15)),IF(D_I="SI",Datos!L15,Datos!L15+Datos!AF15)," - ")</f>
        <v>2604</v>
      </c>
      <c r="AB15" s="333">
        <f>IF(ISNUMBER(Datos!R15),Datos!R15," - ")</f>
        <v>142</v>
      </c>
      <c r="AC15" s="333">
        <f t="shared" ref="AC15:AC17" si="6">IF(ISNUMBER(AA15+AB15),AA15+AB15," - ")</f>
        <v>2746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197</v>
      </c>
      <c r="AJ15" s="230" t="str">
        <f>IF(ISNUMBER(Datos!BW15),Datos!BW15," - ")</f>
        <v xml:space="preserve"> - </v>
      </c>
      <c r="AK15" s="231" t="str">
        <f>IF(ISNUMBER(Datos!BX15),Datos!BX15," - ")</f>
        <v xml:space="preserve"> - </v>
      </c>
      <c r="AL15" s="242">
        <f>IF(ISNUMBER(NºAsuntos!G15/NºAsuntos!E15),NºAsuntos!G15/NºAsuntos!E15," - ")</f>
        <v>0.90701381509032941</v>
      </c>
      <c r="AM15" s="259">
        <f>IF(ISNUMBER(((NºAsuntos!I15/NºAsuntos!G15)*11)/factor_trimestre),((NºAsuntos!I15/NºAsuntos!G15)*11)/factor_trimestre," - ")</f>
        <v>4.5764499121265381</v>
      </c>
      <c r="AN15" s="243">
        <f>IF(ISNUMBER('Resol  Asuntos'!D15/NºAsuntos!G15),'Resol  Asuntos'!D15/NºAsuntos!G15," - ")</f>
        <v>0.11540714704159344</v>
      </c>
      <c r="AO15" s="244">
        <f>IF(ISNUMBER((NºAsuntos!C15+NºAsuntos!E15)/NºAsuntos!G15),(NºAsuntos!C15+NºAsuntos!E15)/NºAsuntos!G15," - ")</f>
        <v>2.5020503807850027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68</v>
      </c>
      <c r="G16" s="332">
        <f>IF(ISNUMBER(IF(D_I="SI",Datos!I16,Datos!I16+Datos!AC16)),IF(D_I="SI",Datos!I16,Datos!I16+Datos!AC16)," - ")</f>
        <v>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v>
      </c>
      <c r="X16" s="225">
        <f>IF(ISNUMBER(Datos!Q16),Datos!Q16," - ")</f>
        <v>22</v>
      </c>
      <c r="Y16" s="333">
        <f t="shared" ref="Y16:Y17" si="7">SUM(W16:X16)</f>
        <v>45</v>
      </c>
      <c r="Z16" s="334" t="str">
        <f>IF(ISNUMBER(Datos!CC16),Datos!CC16," - ")</f>
        <v xml:space="preserve"> - </v>
      </c>
      <c r="AA16" s="331">
        <f>IF(ISNUMBER(IF(D_I="SI",Datos!L16,Datos!L16+Datos!AF16)),IF(D_I="SI",Datos!L16,Datos!L16+Datos!AF16)," - ")</f>
        <v>49</v>
      </c>
      <c r="AB16" s="333">
        <f>IF(ISNUMBER(Datos!R16),Datos!R16," - ")</f>
        <v>61</v>
      </c>
      <c r="AC16" s="333">
        <f t="shared" si="6"/>
        <v>110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f>IF(ISNUMBER(NºAsuntos!G16/NºAsuntos!E16),NºAsuntos!G16/NºAsuntos!E16," - ")</f>
        <v>5.75</v>
      </c>
      <c r="AM16" s="259">
        <f>IF(ISNUMBER(((NºAsuntos!I16/NºAsuntos!G16)*11)/factor_trimestre),((NºAsuntos!I16/NºAsuntos!G16)*11)/factor_trimestre," - ")</f>
        <v>6.3913043478260869</v>
      </c>
      <c r="AN16" s="243">
        <f>IF(ISNUMBER('Resol  Asuntos'!D16/NºAsuntos!G16),'Resol  Asuntos'!D16/NºAsuntos!G16," - ")</f>
        <v>0</v>
      </c>
      <c r="AO16" s="244">
        <f>IF(ISNUMBER((NºAsuntos!C16+NºAsuntos!E16)/NºAsuntos!G16),(NºAsuntos!C16+NºAsuntos!E16)/NºAsuntos!G16," - ")</f>
        <v>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541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312</v>
      </c>
      <c r="X17" s="225">
        <f>IF(ISNUMBER(Datos!Q17),Datos!Q17," - ")</f>
        <v>9</v>
      </c>
      <c r="Y17" s="333">
        <f t="shared" si="7"/>
        <v>321</v>
      </c>
      <c r="Z17" s="334" t="str">
        <f>IF(ISNUMBER(Datos!CC17),Datos!CC17," - ")</f>
        <v xml:space="preserve"> - </v>
      </c>
      <c r="AA17" s="331">
        <f>IF(ISNUMBER(Datos!L17),Datos!L17,"-")</f>
        <v>652</v>
      </c>
      <c r="AB17" s="333">
        <f>IF(ISNUMBER(Datos!R17),Datos!R17," - ")</f>
        <v>21</v>
      </c>
      <c r="AC17" s="333">
        <f t="shared" si="6"/>
        <v>673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52</v>
      </c>
      <c r="AJ17" s="230" t="str">
        <f>IF(ISNUMBER(Datos!BW17),Datos!BW17," - ")</f>
        <v xml:space="preserve"> - </v>
      </c>
      <c r="AK17" s="231" t="str">
        <f>IF(ISNUMBER(Datos!BX17),Datos!BX17," - ")</f>
        <v xml:space="preserve"> - </v>
      </c>
      <c r="AL17" s="242">
        <f>IF(ISNUMBER(NºAsuntos!G17/NºAsuntos!E17),NºAsuntos!G17/NºAsuntos!E17," - ")</f>
        <v>0.74820143884892087</v>
      </c>
      <c r="AM17" s="259">
        <f>IF(ISNUMBER(((NºAsuntos!I17/NºAsuntos!G17)*11)/factor_trimestre),((NºAsuntos!I17/NºAsuntos!G17)*11)/factor_trimestre," - ")</f>
        <v>6.2692307692307701</v>
      </c>
      <c r="AN17" s="243">
        <f>IF(ISNUMBER('Resol  Asuntos'!D17/NºAsuntos!G17),'Resol  Asuntos'!D17/NºAsuntos!G17," - ")</f>
        <v>0.16666666666666666</v>
      </c>
      <c r="AO17" s="244">
        <f>IF(ISNUMBER((NºAsuntos!C17+NºAsuntos!E17)/NºAsuntos!G17),(NºAsuntos!C17+NºAsuntos!E17)/NºAsuntos!G17," - ")</f>
        <v>3.0705128205128207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2497</v>
      </c>
      <c r="G18" s="865">
        <f>SUBTOTAL(9,G15:G17)</f>
        <v>2995</v>
      </c>
      <c r="H18" s="864">
        <f t="shared" ref="H18:O18" si="10">SUBTOTAL(9,H14:H17)</f>
        <v>0</v>
      </c>
      <c r="I18" s="866">
        <f t="shared" si="10"/>
        <v>0</v>
      </c>
      <c r="J18" s="866">
        <f t="shared" si="10"/>
        <v>0</v>
      </c>
      <c r="K18" s="866">
        <f t="shared" si="10"/>
        <v>0</v>
      </c>
      <c r="L18" s="866">
        <f t="shared" si="10"/>
        <v>92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2042</v>
      </c>
      <c r="X18" s="866">
        <f t="shared" si="11"/>
        <v>169</v>
      </c>
      <c r="Y18" s="867">
        <f t="shared" si="11"/>
        <v>2073</v>
      </c>
      <c r="Z18" s="867">
        <f t="shared" si="11"/>
        <v>0</v>
      </c>
      <c r="AA18" s="867">
        <f t="shared" si="11"/>
        <v>3305</v>
      </c>
      <c r="AB18" s="867">
        <f t="shared" si="11"/>
        <v>224</v>
      </c>
      <c r="AC18" s="867">
        <f t="shared" si="11"/>
        <v>3529</v>
      </c>
      <c r="AD18" s="867">
        <f t="shared" si="11"/>
        <v>0</v>
      </c>
      <c r="AE18" s="871">
        <f t="shared" si="11"/>
        <v>0</v>
      </c>
      <c r="AF18" s="864">
        <f t="shared" si="11"/>
        <v>0</v>
      </c>
      <c r="AG18" s="872">
        <f t="shared" si="11"/>
        <v>0</v>
      </c>
      <c r="AH18" s="869">
        <f t="shared" si="11"/>
        <v>0</v>
      </c>
      <c r="AI18" s="864">
        <f t="shared" si="11"/>
        <v>249</v>
      </c>
      <c r="AJ18" s="866">
        <f t="shared" si="11"/>
        <v>0</v>
      </c>
      <c r="AK18" s="869">
        <f t="shared" si="11"/>
        <v>0</v>
      </c>
      <c r="AL18" s="873">
        <f>IF(ISNUMBER(NºAsuntos!G18/NºAsuntos!E18),NºAsuntos!G18/NºAsuntos!E18," - ")</f>
        <v>0.88666956144159792</v>
      </c>
      <c r="AM18" s="873">
        <f>IF(ISNUMBER(((NºAsuntos!I18/NºAsuntos!G18)*11)/factor_trimestre),((NºAsuntos!I18/NºAsuntos!G18)*11)/factor_trimestre," - ")</f>
        <v>4.8555337904015676</v>
      </c>
      <c r="AN18" s="874">
        <f>IF(ISNUMBER('Resol  Asuntos'!D18/NºAsuntos!G18),'Resol  Asuntos'!D18/NºAsuntos!G18," - ")</f>
        <v>0.12193927522037218</v>
      </c>
      <c r="AO18" s="875">
        <f>IF(ISNUMBER((NºAsuntos!C18+NºAsuntos!E18)/NºAsuntos!G18),(NºAsuntos!C18+NºAsuntos!E18)/NºAsuntos!G18," - ")</f>
        <v>2.594515181194907</v>
      </c>
      <c r="AP18" s="876" t="str">
        <f t="shared" si="2"/>
        <v xml:space="preserve"> - </v>
      </c>
      <c r="AQ18" s="876">
        <f>IF(ISNUMBER((H18-W18+K18)/(F18)),(H18-W18+K18)/(F18)," - ")</f>
        <v>-0.81778133760512617</v>
      </c>
      <c r="AR18" s="877">
        <f>IF(ISNUMBER((Datos!P18-Datos!Q18)/(Datos!R18-Datos!P18+Datos!Q18)),(Datos!P18-Datos!Q18)/(Datos!R18-Datos!P18+Datos!Q18)," - ")</f>
        <v>-0.2558139534883721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2642</v>
      </c>
      <c r="G19" s="820">
        <f t="shared" si="13"/>
        <v>3140</v>
      </c>
      <c r="H19" s="819">
        <f t="shared" si="13"/>
        <v>0</v>
      </c>
      <c r="I19" s="821">
        <f t="shared" si="13"/>
        <v>0</v>
      </c>
      <c r="J19" s="821">
        <f t="shared" si="13"/>
        <v>0</v>
      </c>
      <c r="K19" s="880">
        <f t="shared" si="13"/>
        <v>0</v>
      </c>
      <c r="L19" s="821">
        <f t="shared" si="13"/>
        <v>686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2073</v>
      </c>
      <c r="X19" s="820">
        <f t="shared" si="14"/>
        <v>563</v>
      </c>
      <c r="Y19" s="827">
        <f t="shared" si="14"/>
        <v>2498</v>
      </c>
      <c r="Z19" s="827">
        <f t="shared" si="14"/>
        <v>0</v>
      </c>
      <c r="AA19" s="827">
        <f t="shared" si="14"/>
        <v>3465</v>
      </c>
      <c r="AB19" s="827">
        <f t="shared" si="14"/>
        <v>8291</v>
      </c>
      <c r="AC19" s="827">
        <f t="shared" si="14"/>
        <v>3722</v>
      </c>
      <c r="AD19" s="827">
        <f t="shared" si="14"/>
        <v>0</v>
      </c>
      <c r="AE19" s="829">
        <f t="shared" si="14"/>
        <v>0</v>
      </c>
      <c r="AF19" s="830">
        <f t="shared" si="14"/>
        <v>0</v>
      </c>
      <c r="AG19" s="831">
        <f t="shared" si="14"/>
        <v>0</v>
      </c>
      <c r="AH19" s="829">
        <f t="shared" si="14"/>
        <v>0</v>
      </c>
      <c r="AI19" s="819">
        <f t="shared" si="14"/>
        <v>874</v>
      </c>
      <c r="AJ19" s="819">
        <f t="shared" si="14"/>
        <v>0</v>
      </c>
      <c r="AK19" s="829">
        <f t="shared" si="14"/>
        <v>0</v>
      </c>
      <c r="AL19" s="883">
        <f>IF(ISNUMBER(NºAsuntos!G19/NºAsuntos!E19),NºAsuntos!G19/NºAsuntos!E19," - ")</f>
        <v>1.0035885167464116</v>
      </c>
      <c r="AM19" s="884">
        <f>IF(ISNUMBER(((NºAsuntos!I19/NºAsuntos!G19)*11)/factor_trimestre),((NºAsuntos!I19/NºAsuntos!G19)*11)/factor_trimestre," - ")</f>
        <v>5.8026221692491058</v>
      </c>
      <c r="AN19" s="884">
        <f>IF(ISNUMBER('Resol  Asuntos'!D19/NºAsuntos!G19),'Resol  Asuntos'!D19/NºAsuntos!G19," - ")</f>
        <v>0.20834326579261025</v>
      </c>
      <c r="AO19" s="885">
        <f>IF(ISNUMBER((NºAsuntos!C19+NºAsuntos!E19)/NºAsuntos!G19),(NºAsuntos!C19+NºAsuntos!E19)/NºAsuntos!G19," - ")</f>
        <v>3.0073897497020261</v>
      </c>
      <c r="AP19" s="886" t="str">
        <f t="shared" si="2"/>
        <v xml:space="preserve"> - </v>
      </c>
      <c r="AQ19" s="887">
        <f>IF(OR(ISNUMBER(FIND("01",Criterios!A8,1)),ISNUMBER(FIND("02",Criterios!A8,1)),ISNUMBER(FIND("03",Criterios!A8,1)),ISNUMBER(FIND("04",Criterios!A8,1))),(I19-W19+K19)/(F19-K19),(H19-W19+K19)/(F19-K19))</f>
        <v>-0.78463285389856174</v>
      </c>
      <c r="AR19" s="888">
        <f>IF(ISNUMBER((Datos!P19-Datos!Q19)/(Datos!R19-Datos!P19+Datos!Q19)),(Datos!P19-Datos!Q19)/(Datos!R19-Datos!P19+Datos!Q19)," - ")</f>
        <v>1.5058765915768855E-2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1046.6666666666667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2.3333333333333335</v>
      </c>
      <c r="F21" s="251">
        <f>IF(ISNUMBER(STDEV(F8:F18)),STDEV(F8:F18),"-")</f>
        <v>1284.2889861709475</v>
      </c>
      <c r="G21" s="252">
        <f>IF(ISNUMBER(STDEV(G8:G18)),STDEV(G8:G18),"-")</f>
        <v>1299.4795368402945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929.35698200422428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263.71792289706599</v>
      </c>
      <c r="AJ21" s="251">
        <f t="shared" si="18"/>
        <v>0</v>
      </c>
      <c r="AK21" s="253">
        <f t="shared" si="18"/>
        <v>0</v>
      </c>
      <c r="AL21" s="248">
        <f t="shared" si="18"/>
        <v>1.709214436352849</v>
      </c>
      <c r="AM21" s="249">
        <f t="shared" si="18"/>
        <v>3.7967990144726302</v>
      </c>
      <c r="AN21" s="249">
        <f t="shared" si="18"/>
        <v>0.10368615302135106</v>
      </c>
      <c r="AO21" s="250">
        <f t="shared" si="18"/>
        <v>1.3288995265700241</v>
      </c>
      <c r="AP21" s="290" t="str">
        <f t="shared" si="18"/>
        <v>-</v>
      </c>
      <c r="AQ21" s="291">
        <f t="shared" si="18"/>
        <v>0.42708417612919719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6y0V7VRrE2UYr63wvPtqdJ4j+JVl2iuaImBegpK1Q+vKKsMkyi9n38gl2OOLCVyc2l8kk1dsxRenI3vJMIFdw==" saltValue="D0c50inJcBn4MAte3mK/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TOLEDO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-0.58508474576271186</v>
      </c>
      <c r="I9" s="349">
        <f>IF(ISNUMBER((Tasas!C9-Datos!BE9)/Datos!BE9),(Tasas!C9-Datos!BE9)/Datos!BE9," - ")</f>
        <v>0.31237179568648871</v>
      </c>
      <c r="J9" s="348">
        <f>IF(ISNUMBER((Tasas!D9-Datos!BF9)/Datos!BF9),(Tasas!D9-Datos!BF9)/Datos!BF9," - ")</f>
        <v>-6.5021786345424909E-2</v>
      </c>
      <c r="K9" s="350">
        <f>IF(ISNUMBER((Tasas!E9-Datos!BG9)/Datos!BG9),(Tasas!E9-Datos!BG9)/Datos!BG9," - ")</f>
        <v>0.23727913726793157</v>
      </c>
      <c r="M9" t="e">
        <f>IF(Monitorios="SI",Datos!CE9,0)</f>
        <v>#REF!</v>
      </c>
      <c r="N9" t="e">
        <f>IF(Monitorios="SI",Datos!CF9,0)</f>
        <v>#REF!</v>
      </c>
      <c r="O9" t="e">
        <f>IF(Monitorios="SI",Datos!CG9,0)</f>
        <v>#REF!</v>
      </c>
      <c r="P9" t="e">
        <f>IF(Monitorios="SI",Datos!CH9,0)</f>
        <v>#REF!</v>
      </c>
      <c r="Q9">
        <f>IF(J_V="SI",0,Datos!AG9)</f>
        <v>296</v>
      </c>
      <c r="R9">
        <f>IF(J_V="SI",0,Datos!AH9)</f>
        <v>144</v>
      </c>
      <c r="S9">
        <f>IF(J_V="SI",0,Datos!AI9)</f>
        <v>125</v>
      </c>
      <c r="T9">
        <f>IF(J_V="SI",0,Datos!AJ9)</f>
        <v>335</v>
      </c>
    </row>
    <row r="10" spans="2:20" ht="14.25">
      <c r="B10" s="274" t="s">
        <v>246</v>
      </c>
      <c r="C10" s="7" t="str">
        <f>Datos!A10</f>
        <v>Jdos. Violencia contra la mujer/Secc Viol. TI.</v>
      </c>
      <c r="D10" s="351">
        <f>IF(ISNUMBER((Datos!I10-Datos!S10)/Datos!S10),(Datos!I10-Datos!S10)/Datos!S10," - ")</f>
        <v>0.68604651162790697</v>
      </c>
      <c r="E10" s="347">
        <f>IF(ISNUMBER((Datos!J10-Datos!T10)/Datos!T10),(Datos!J10-Datos!T10)/Datos!T10," - ")</f>
        <v>-0.08</v>
      </c>
      <c r="F10" s="347">
        <f>IF(ISNUMBER((Datos!K10-Datos!U10)/Datos!U10),(Datos!K10-Datos!U10)/Datos!U10," - ")</f>
        <v>0.29166666666666669</v>
      </c>
      <c r="G10" s="348">
        <f>IF(ISNUMBER((Datos!L10-Datos!V10)/Datos!V10),(Datos!L10-Datos!V10)/Datos!V10," - ")</f>
        <v>0.42857142857142855</v>
      </c>
      <c r="H10" s="229">
        <f>IF(ISNUMBER((Datos!M10-Datos!W10)/Datos!W10),(Datos!M10-Datos!W10)/Datos!W10," - ")</f>
        <v>-0.14285714285714285</v>
      </c>
      <c r="I10" s="349">
        <f>IF(ISNUMBER((Tasas!C10-Datos!BE10)/Datos!BE10),(Tasas!C10-Datos!BE10)/Datos!BE10," - ")</f>
        <v>0.10599078341013815</v>
      </c>
      <c r="J10" s="348">
        <f>IF(ISNUMBER((Tasas!D10-Datos!BF10)/Datos!BF10),(Tasas!D10-Datos!BF10)/Datos!BF10," - ")</f>
        <v>-0.33640552995391709</v>
      </c>
      <c r="K10" s="350">
        <f>IF(ISNUMBER((Tasas!E10-Datos!BG10)/Datos!BG10),(Tasas!E10-Datos!BG10)/Datos!BG10," - ")</f>
        <v>8.728652751423141E-2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-0.66666666666666663</v>
      </c>
      <c r="I12" s="349">
        <f>IF(ISNUMBER((Tasas!C12-Datos!BE12)/Datos!BE12),(Tasas!C12-Datos!BE12)/Datos!BE12," - ")</f>
        <v>0.18936099029775846</v>
      </c>
      <c r="J12" s="348">
        <f>IF(ISNUMBER((Tasas!D12-Datos!BF12)/Datos!BF12),(Tasas!D12-Datos!BF12)/Datos!BF12," - ")</f>
        <v>-0.61083743842364535</v>
      </c>
      <c r="K12" s="350">
        <f>IF(ISNUMBER((Tasas!E12-Datos!BG12)/Datos!BG12),(Tasas!E12-Datos!BG12)/Datos!BG12," - ")</f>
        <v>-9.2020923893022924E-2</v>
      </c>
      <c r="M12" t="e">
        <f>IF(Monitorios="SI",Datos!CE12,0)</f>
        <v>#REF!</v>
      </c>
      <c r="N12" t="e">
        <f>IF(Monitorios="SI",Datos!CF12,0)</f>
        <v>#REF!</v>
      </c>
      <c r="O12" t="e">
        <f>IF(Monitorios="SI",Datos!CG12,0)</f>
        <v>#REF!</v>
      </c>
      <c r="P12" t="e">
        <f>IF(Monitorios="SI",Datos!CH12,0)</f>
        <v>#REF!</v>
      </c>
      <c r="Q12">
        <f>IF(J_V="SI",0,Datos!AG12)</f>
        <v>28</v>
      </c>
      <c r="R12">
        <f>IF(J_V="SI",0,Datos!AH12)</f>
        <v>78</v>
      </c>
      <c r="S12">
        <f>IF(J_V="SI",0,Datos!AI12)</f>
        <v>78</v>
      </c>
      <c r="T12">
        <f>IF(J_V="SI",0,Datos!AJ12)</f>
        <v>28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-0.58416500332667998</v>
      </c>
      <c r="I13" s="356">
        <f>IF(ISNUMBER((Tasas!C13-Datos!BE13)/Datos!BE13),(Tasas!C13-Datos!BE13)/Datos!BE13," - ")</f>
        <v>0.31719650631263646</v>
      </c>
      <c r="J13" s="354">
        <f>IF(ISNUMBER((Tasas!D13-Datos!BF13)/Datos!BF13),(Tasas!D13-Datos!BF13)/Datos!BF13," - ")</f>
        <v>-8.5386016124120515E-2</v>
      </c>
      <c r="K13" s="357">
        <f>IF(ISNUMBER((Tasas!E13-Datos!BG13)/Datos!BG13),(Tasas!E13-Datos!BG13)/Datos!BG13," - ")</f>
        <v>0.23193133177814693</v>
      </c>
      <c r="M13" t="e">
        <f>IF(Monitorios="SI",Datos!CE13,0)</f>
        <v>#REF!</v>
      </c>
      <c r="N13" t="e">
        <f>IF(Monitorios="SI",Datos!CF13,0)</f>
        <v>#REF!</v>
      </c>
      <c r="O13" t="e">
        <f>IF(Monitorios="SI",Datos!CG13,0)</f>
        <v>#REF!</v>
      </c>
      <c r="P13" t="e">
        <f>IF(Monitorios="SI",Datos!CH13,0)</f>
        <v>#REF!</v>
      </c>
      <c r="Q13">
        <f>IF(J_V="SI",0,Datos!AG13)</f>
        <v>324</v>
      </c>
      <c r="R13">
        <f>IF(J_V="SI",0,Datos!AH13)</f>
        <v>222</v>
      </c>
      <c r="S13">
        <f>IF(J_V="SI",0,Datos!AI13)</f>
        <v>203</v>
      </c>
      <c r="T13">
        <f>IF(J_V="SI",0,Datos!AJ13)</f>
        <v>363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-0.10791635548917103</v>
      </c>
      <c r="E15" s="347">
        <f>IF(ISNUMBER(
   IF(D_I="SI",(Datos!J15-Datos!T15)/Datos!T15,(Datos!J15+Datos!AD15-(Datos!T15+Datos!AL15))/(Datos!T15+Datos!AL15))
     ),IF(D_I="SI",(Datos!J15-Datos!T15)/Datos!T15,(Datos!J15+Datos!AD15-(Datos!T15+Datos!AL15))/(Datos!T15+Datos!AL15))," - ")</f>
        <v>5.0809603573422672E-2</v>
      </c>
      <c r="F15" s="347">
        <f>IF(ISNUMBER(
   IF(D_I="SI",(Datos!K15-Datos!U15)/Datos!U15,(Datos!K15+Datos!AE15-(Datos!U15+Datos!AM15))/(Datos!U15+Datos!AM15))
     ),IF(D_I="SI",(Datos!K15-Datos!U15)/Datos!U15,(Datos!K15+Datos!AE15-(Datos!U15+Datos!AM15))/(Datos!U15+Datos!AM15))," - ")</f>
        <v>0.10200129115558425</v>
      </c>
      <c r="G15" s="348">
        <f>IF(ISNUMBER(
   IF(D_I="SI",(Datos!L15-Datos!V15)/Datos!V15,(Datos!L15+Datos!AF15-(Datos!V15+Datos!AN15))/(Datos!V15+Datos!AN15))
     ),IF(D_I="SI",(Datos!L15-Datos!V15)/Datos!V15,(Datos!L15+Datos!AF15-(Datos!V15+Datos!AN15))/(Datos!V15+Datos!AN15))," - ")</f>
        <v>-0.11878172588832488</v>
      </c>
      <c r="H15" s="229">
        <f>IF(ISNUMBER((Datos!M15-Datos!W15)/Datos!W15),(Datos!M15-Datos!W15)/Datos!W15," - ")</f>
        <v>1.0256410256410256E-2</v>
      </c>
      <c r="I15" s="349">
        <f>IF(ISNUMBER((Tasas!C15-Datos!BE15)/Datos!BE15),(Tasas!C15-Datos!BE15)/Datos!BE15," - ")</f>
        <v>-0.20034733063914187</v>
      </c>
      <c r="J15" s="348">
        <f>IF(ISNUMBER((Tasas!D15-Datos!BF15)/Datos!BF15),(Tasas!D15-Datos!BF15)/Datos!BF15," - ")</f>
        <v>-8.3252970423444941E-2</v>
      </c>
      <c r="K15" s="350">
        <f>IF(ISNUMBER((Tasas!E15-Datos!BG15)/Datos!BG15),(Tasas!E15-Datos!BG15)/Datos!BG15," - ")</f>
        <v>-0.13276436790423604</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-0.27777777777777779</v>
      </c>
      <c r="E16" s="347">
        <f>IF(ISNUMBER(
   IF(D_I="SI",(Datos!J16-Datos!T16)/Datos!T16,(Datos!J16+Datos!AD16-(Datos!T16+Datos!AL16))/(Datos!T16+Datos!AL16))
     ),IF(D_I="SI",(Datos!J16-Datos!T16)/Datos!T16,(Datos!J16+Datos!AD16-(Datos!T16+Datos!AL16))/(Datos!T16+Datos!AL16))," - ")</f>
        <v>-0.2</v>
      </c>
      <c r="F16" s="347">
        <f>IF(ISNUMBER(
   IF(D_I="SI",(Datos!K16-Datos!U16)/Datos!U16,(Datos!K16+Datos!AE16-(Datos!U16+Datos!AM16))/(Datos!U16+Datos!AM16))
     ),IF(D_I="SI",(Datos!K16-Datos!U16)/Datos!U16,(Datos!K16+Datos!AE16-(Datos!U16+Datos!AM16))/(Datos!U16+Datos!AM16))," - ")</f>
        <v>-0.14814814814814814</v>
      </c>
      <c r="G16" s="348">
        <f>IF(ISNUMBER(
   IF(D_I="SI",(Datos!L16-Datos!V16)/Datos!V16,(Datos!L16+Datos!AF16-(Datos!V16+Datos!AN16))/(Datos!V16+Datos!AN16))
     ),IF(D_I="SI",(Datos!L16-Datos!V16)/Datos!V16,(Datos!L16+Datos!AF16-(Datos!V16+Datos!AN16))/(Datos!V16+Datos!AN16))," - ")</f>
        <v>-0.28985507246376813</v>
      </c>
      <c r="H16" s="229" t="str">
        <f>IF(ISNUMBER((Datos!M16-Datos!W16)/Datos!W16),(Datos!M16-Datos!W16)/Datos!W16," - ")</f>
        <v xml:space="preserve"> - </v>
      </c>
      <c r="I16" s="349">
        <f>IF(ISNUMBER((Tasas!C16-Datos!BE16)/Datos!BE16),(Tasas!C16-Datos!BE16)/Datos!BE16," - ")</f>
        <v>-0.1663516068052929</v>
      </c>
      <c r="J16" s="348" t="str">
        <f>IF(ISNUMBER((Tasas!D16-Datos!BF16)/Datos!BF16),(Tasas!D16-Datos!BF16)/Datos!BF16," - ")</f>
        <v xml:space="preserve"> - </v>
      </c>
      <c r="K16" s="350">
        <f>IF(ISNUMBER((Tasas!E16-Datos!BG16)/Datos!BG16),(Tasas!E16-Datos!BG16)/Datos!BG16," - ")</f>
        <v>-0.14736842105263159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1.3318965517241379</v>
      </c>
      <c r="E17" s="347">
        <f>IF(ISNUMBER(
   IF(D_I="SI",(Datos!J17-Datos!T17)/Datos!T17,(Datos!J17+Datos!AD17-(Datos!T17+Datos!AL17))/(Datos!T17+Datos!AL17))
     ),IF(D_I="SI",(Datos!J17-Datos!T17)/Datos!T17,(Datos!J17+Datos!AD17-(Datos!T17+Datos!AL17))/(Datos!T17+Datos!AL17))," - ")</f>
        <v>-0.28350515463917525</v>
      </c>
      <c r="F17" s="347">
        <f>IF(ISNUMBER(
   IF(D_I="SI",(Datos!K17-Datos!U17)/Datos!U17,(Datos!K17+Datos!AE17-(Datos!U17+Datos!AM17))/(Datos!U17+Datos!AM17))
     ),IF(D_I="SI",(Datos!K17-Datos!U17)/Datos!U17,(Datos!K17+Datos!AE17-(Datos!U17+Datos!AM17))/(Datos!U17+Datos!AM17))," - ")</f>
        <v>-0.38582677165354329</v>
      </c>
      <c r="G17" s="348">
        <f>IF(ISNUMBER(
   IF(D_I="SI",(Datos!L17-Datos!V17)/Datos!V17,(Datos!L17+Datos!AF17-(Datos!V17+Datos!AN17))/(Datos!V17+Datos!AN17))
     ),IF(D_I="SI",(Datos!L17-Datos!V17)/Datos!V17,(Datos!L17+Datos!AF17-(Datos!V17+Datos!AN17))/(Datos!V17+Datos!AN17))," - ")</f>
        <v>0.97575757575757571</v>
      </c>
      <c r="H17" s="229">
        <f>IF(ISNUMBER((Datos!M17-Datos!W17)/Datos!W17),(Datos!M17-Datos!W17)/Datos!W17," - ")</f>
        <v>-0.11864406779661017</v>
      </c>
      <c r="I17" s="349">
        <f>IF(ISNUMBER((Tasas!C17-Datos!BE17)/Datos!BE17),(Tasas!C17-Datos!BE17)/Datos!BE17," - ")</f>
        <v>2.2169386169386174</v>
      </c>
      <c r="J17" s="348">
        <f>IF(ISNUMBER((Tasas!D17-Datos!BF17)/Datos!BF17),(Tasas!D17-Datos!BF17)/Datos!BF17," - ")</f>
        <v>0.4350282485875705</v>
      </c>
      <c r="K17" s="350">
        <f>IF(ISNUMBER((Tasas!E17-Datos!BG17)/Datos!BG17),(Tasas!E17-Datos!BG17)/Datos!BG17," - ")</f>
        <v>0.91624141624141631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-1.6666666666666668E-3</v>
      </c>
      <c r="E18" s="353">
        <f>IF(ISNUMBER(
   IF(D_I="SI",(Datos!J18-Datos!T18)/Datos!T18,(Datos!J18+Datos!AD18-(Datos!T18+Datos!AL18))/(Datos!T18+Datos!AL18))
     ),IF(D_I="SI",(Datos!J18-Datos!T18)/Datos!T18,(Datos!J18+Datos!AD18-(Datos!T18+Datos!AL18))/(Datos!T18+Datos!AL18))," - ")</f>
        <v>-3.1539108494533223E-2</v>
      </c>
      <c r="F18" s="353">
        <f>IF(ISNUMBER(
   IF(D_I="SI",(Datos!K18-Datos!U18)/Datos!U18,(Datos!K18+Datos!AE18-(Datos!U18+Datos!AM18))/(Datos!U18+Datos!AM18))
     ),IF(D_I="SI",(Datos!K18-Datos!U18)/Datos!U18,(Datos!K18+Datos!AE18-(Datos!U18+Datos!AM18))/(Datos!U18+Datos!AM18))," - ")</f>
        <v>-2.0153550863723609E-2</v>
      </c>
      <c r="G18" s="354">
        <f>IF(ISNUMBER(
   IF(D_I="SI",(Datos!L18-Datos!V18)/Datos!V18,(Datos!L18+Datos!AF18-(Datos!V18+Datos!AN18))/(Datos!V18+Datos!AN18))
     ),IF(D_I="SI",(Datos!L18-Datos!V18)/Datos!V18,(Datos!L18+Datos!AF18-(Datos!V18+Datos!AN18))/(Datos!V18+Datos!AN18))," - ")</f>
        <v>-1.4609421586165773E-2</v>
      </c>
      <c r="H18" s="355">
        <f>IF(ISNUMBER((Datos!M18-Datos!W18)/Datos!W18),(Datos!M18-Datos!W18)/Datos!W18," - ")</f>
        <v>-1.968503937007874E-2</v>
      </c>
      <c r="I18" s="356">
        <f>IF(ISNUMBER((Tasas!C18-Datos!BE18)/Datos!BE18),(Tasas!C18-Datos!BE18)/Datos!BE18," - ")</f>
        <v>5.6581613195056651E-3</v>
      </c>
      <c r="J18" s="354">
        <f>IF(ISNUMBER((Tasas!D18-Datos!BF18)/Datos!BF18),(Tasas!D18-Datos!BF18)/Datos!BF18," - ")</f>
        <v>4.7814787108514591E-4</v>
      </c>
      <c r="K18" s="357">
        <f>IF(ISNUMBER((Tasas!E18-Datos!BG18)/Datos!BG18),(Tasas!E18-Datos!BG18)/Datos!BG18," - ")</f>
        <v>5.3866934938984973E-3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-0.20699379582628313</v>
      </c>
      <c r="E19" s="362">
        <f>IF(ISNUMBER(
   IF(J_V="SI",(Datos!J19-Datos!T19)/Datos!T19,(Datos!J19+Datos!Z19-(Datos!T19+Datos!AH19))/(Datos!T19+Datos!AH19))
     ),IF(J_V="SI",(Datos!J19-Datos!T19)/Datos!T19,(Datos!J19+Datos!Z19-(Datos!T19+Datos!AH19))/(Datos!T19+Datos!AH19))," - ")</f>
        <v>-0.20244228200725053</v>
      </c>
      <c r="F19" s="362">
        <f>IF(ISNUMBER(
   IF(J_V="SI",(Datos!K19-Datos!U19)/Datos!U19,(Datos!K19+Datos!AA19-(Datos!U19+Datos!AI19))/(Datos!U19+Datos!AI19))
     ),IF(J_V="SI",(Datos!K19-Datos!U19)/Datos!U19,(Datos!K19+Datos!AA19-(Datos!U19+Datos!AI19))/(Datos!U19+Datos!AI19))," - ")</f>
        <v>-0.28777589134125636</v>
      </c>
      <c r="G19" s="363">
        <f>IF(ISNUMBER(
   IF(J_V="SI",(Datos!L19-Datos!V19)/Datos!V19,(Datos!L19+Datos!AB19-(Datos!V19+Datos!AJ19))/(Datos!V19+Datos!AJ19))
     ),IF(J_V="SI",(Datos!L19-Datos!V19)/Datos!V19,(Datos!L19+Datos!AB19-(Datos!V19+Datos!AJ19))/(Datos!V19+Datos!AJ19))," - ")</f>
        <v>-0.17271615008156607</v>
      </c>
      <c r="H19" s="364">
        <f>IF(ISNUMBER((Datos!M19-Datos!W19)/Datos!W19),(Datos!M19-Datos!W19)/Datos!W19," - ")</f>
        <v>-0.50256118383608428</v>
      </c>
      <c r="I19" s="361">
        <f>IF(ISNUMBER((Tasas!C19-Datos!BE19)/Datos!BE19),(Tasas!C19-Datos!BE19)/Datos!BE19," - ")</f>
        <v>0.16154991085091211</v>
      </c>
      <c r="J19" s="362">
        <f>IF(ISNUMBER((Tasas!D19-Datos!BF19)/Datos!BF19),(Tasas!D19-Datos!BF19)/Datos!BF19," - ")</f>
        <v>-0.16064169937176853</v>
      </c>
      <c r="K19" s="363">
        <f>IF(ISNUMBER((Tasas!E19-Datos!BG19)/Datos!BG19),(Tasas!E19-Datos!BG19)/Datos!BG19," - ")</f>
        <v>0.11553155902417869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0.67112922534403141</v>
      </c>
      <c r="E21" s="277">
        <f t="shared" si="1"/>
        <v>0.13333532067081941</v>
      </c>
      <c r="F21" s="277">
        <f t="shared" si="1"/>
        <v>0.25570516700988377</v>
      </c>
      <c r="G21" s="278">
        <f t="shared" si="1"/>
        <v>0.51029651348690019</v>
      </c>
      <c r="H21" s="284">
        <f t="shared" si="1"/>
        <v>0.29689509339535025</v>
      </c>
      <c r="I21" s="276">
        <f t="shared" si="1"/>
        <v>0.78023106592219782</v>
      </c>
      <c r="J21" s="277">
        <f t="shared" si="1"/>
        <v>0.32005641118432615</v>
      </c>
      <c r="K21" s="278">
        <f t="shared" si="1"/>
        <v>0.34890745964756292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e2oTJTNseMF9KJTDkWerAjsT+w1dfGyZestWUyBy7sYlp/5aiim+c2yva6iubMc8bYmG1AxBUCRblXr0MiOuQ==" saltValue="B7O32vGEAJXKUghtEkm+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